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506" windowWidth="15135" windowHeight="8715" tabRatio="797" activeTab="0"/>
  </bookViews>
  <sheets>
    <sheet name="Prelimany Data" sheetId="1" r:id="rId1"/>
    <sheet name="Costs_PO_RN" sheetId="2" r:id="rId2"/>
    <sheet name="Benefits_PO_RN" sheetId="3" r:id="rId3"/>
    <sheet name="Cost_Benefits_RFQ_RN" sheetId="4" r:id="rId4"/>
    <sheet name="Input_Data_Web_Systems" sheetId="5" r:id="rId5"/>
    <sheet name="Analysis_WEBAPP" sheetId="6" r:id="rId6"/>
    <sheet name="Summary without RN" sheetId="7" r:id="rId7"/>
    <sheet name="Summary with RN" sheetId="8" r:id="rId8"/>
    <sheet name="Process_Diagrams" sheetId="9" r:id="rId9"/>
  </sheets>
  <definedNames/>
  <calcPr fullCalcOnLoad="1"/>
</workbook>
</file>

<file path=xl/comments1.xml><?xml version="1.0" encoding="utf-8"?>
<comments xmlns="http://schemas.openxmlformats.org/spreadsheetml/2006/main">
  <authors>
    <author>Paresh Rajwat</author>
  </authors>
  <commentList>
    <comment ref="B27" authorId="0">
      <text>
        <r>
          <rPr>
            <b/>
            <sz val="10"/>
            <rFont val="Tahoma"/>
            <family val="0"/>
          </rPr>
          <t>Paresh Rajwat:</t>
        </r>
        <r>
          <rPr>
            <sz val="10"/>
            <rFont val="Tahoma"/>
            <family val="0"/>
          </rPr>
          <t xml:space="preserve">
Total number of times transaction undertaken with 3PL for shipping- and delivery-related information (including times changes were made and exceptions handled)</t>
        </r>
      </text>
    </comment>
    <comment ref="B26" authorId="0">
      <text>
        <r>
          <rPr>
            <b/>
            <sz val="10"/>
            <rFont val="Tahoma"/>
            <family val="0"/>
          </rPr>
          <t>Paresh Rajwat:</t>
        </r>
        <r>
          <rPr>
            <sz val="10"/>
            <rFont val="Tahoma"/>
            <family val="0"/>
          </rPr>
          <t xml:space="preserve">
Total number of times transaction undertaken with production and purchasing managers for Manufacturing related information (including transactions when
changes were made and exceptions handled)</t>
        </r>
      </text>
    </comment>
  </commentList>
</comments>
</file>

<file path=xl/comments2.xml><?xml version="1.0" encoding="utf-8"?>
<comments xmlns="http://schemas.openxmlformats.org/spreadsheetml/2006/main">
  <authors>
    <author>Barchi Peleg</author>
  </authors>
  <commentList>
    <comment ref="B4" authorId="0">
      <text>
        <r>
          <rPr>
            <b/>
            <sz val="8"/>
            <rFont val="Tahoma"/>
            <family val="0"/>
          </rPr>
          <t>Barchi Peleg:</t>
        </r>
        <r>
          <rPr>
            <sz val="8"/>
            <rFont val="Tahoma"/>
            <family val="0"/>
          </rPr>
          <t xml:space="preserve">
One-time costs; incurred only in the first year of implementation</t>
        </r>
      </text>
    </comment>
    <comment ref="B17" authorId="0">
      <text>
        <r>
          <rPr>
            <b/>
            <sz val="8"/>
            <rFont val="Tahoma"/>
            <family val="0"/>
          </rPr>
          <t>Barchi Peleg:</t>
        </r>
        <r>
          <rPr>
            <sz val="8"/>
            <rFont val="Tahoma"/>
            <family val="0"/>
          </rPr>
          <t xml:space="preserve">
On-going costs; incurred every year</t>
        </r>
      </text>
    </comment>
  </commentList>
</comments>
</file>

<file path=xl/comments6.xml><?xml version="1.0" encoding="utf-8"?>
<comments xmlns="http://schemas.openxmlformats.org/spreadsheetml/2006/main">
  <authors>
    <author>Paresh Rajwat</author>
  </authors>
  <commentList>
    <comment ref="B22" authorId="0">
      <text>
        <r>
          <rPr>
            <b/>
            <sz val="10"/>
            <rFont val="Tahoma"/>
            <family val="0"/>
          </rPr>
          <t>Paresh Rajwat:</t>
        </r>
        <r>
          <rPr>
            <sz val="10"/>
            <rFont val="Tahoma"/>
            <family val="0"/>
          </rPr>
          <t xml:space="preserve">
Total number of times transaction undertaken with 3PL for shipping- and delivery-related information (including times changes were made and exceptions handled)</t>
        </r>
      </text>
    </comment>
    <comment ref="B21" authorId="0">
      <text>
        <r>
          <rPr>
            <b/>
            <sz val="10"/>
            <rFont val="Tahoma"/>
            <family val="0"/>
          </rPr>
          <t>Paresh Rajwat:</t>
        </r>
        <r>
          <rPr>
            <sz val="10"/>
            <rFont val="Tahoma"/>
            <family val="0"/>
          </rPr>
          <t xml:space="preserve">
Total number of times transaction undertaken with production and purchasing managers for Manufacturing related information (including transactions when
changes were made and exceptions handled)</t>
        </r>
      </text>
    </comment>
  </commentList>
</comments>
</file>

<file path=xl/sharedStrings.xml><?xml version="1.0" encoding="utf-8"?>
<sst xmlns="http://schemas.openxmlformats.org/spreadsheetml/2006/main" count="506" uniqueCount="294">
  <si>
    <t>Summary</t>
  </si>
  <si>
    <t>Hardware Costs (Servers, computers etc)</t>
  </si>
  <si>
    <t xml:space="preserve">Order Management Software development cost </t>
  </si>
  <si>
    <t>No of FTE in the team</t>
  </si>
  <si>
    <t>Amount of time they work on developing software for Order Management (In Years)</t>
  </si>
  <si>
    <t>Costs of Implementing the System</t>
  </si>
  <si>
    <t>Maintenance Costs</t>
  </si>
  <si>
    <t>Cost per Order</t>
  </si>
  <si>
    <t>Pay rate per year</t>
  </si>
  <si>
    <t>Pay Rate Per year</t>
  </si>
  <si>
    <t>Phone / Fax expense per CSR</t>
  </si>
  <si>
    <t>Total Phone / Fax expense of CSRs</t>
  </si>
  <si>
    <t>% Manual</t>
  </si>
  <si>
    <t>% EDI</t>
  </si>
  <si>
    <t>% RN</t>
  </si>
  <si>
    <t>% increase expected</t>
  </si>
  <si>
    <t>BASIC DATA</t>
  </si>
  <si>
    <t>Annual Sales Revenue (Year 2001)</t>
  </si>
  <si>
    <t>No. Planning Managers releasing production plans / placing orders to suppliers</t>
  </si>
  <si>
    <t>Phone / Fax expense per Planner / buyer</t>
  </si>
  <si>
    <t>Total Phone / Fax expense of planners / buyers</t>
  </si>
  <si>
    <t>Cost per Order (Year 2001)</t>
  </si>
  <si>
    <t>Pick-Pack and Ship "Management" employees (responsible for processing ASNs)</t>
  </si>
  <si>
    <t>Fixed Costs</t>
  </si>
  <si>
    <t>Consortium Fees</t>
  </si>
  <si>
    <t>Consortium Fees attributed to Order Management</t>
  </si>
  <si>
    <t>Total Consortium Fees</t>
  </si>
  <si>
    <t>Estimate of growth in # of Customer Orders as business grows</t>
  </si>
  <si>
    <t xml:space="preserve">How would Customer Orders be processed for the next 5 years? </t>
  </si>
  <si>
    <t xml:space="preserve"> </t>
  </si>
  <si>
    <t>% Time spent by CSRs (for eg. 30%)</t>
  </si>
  <si>
    <t xml:space="preserve">Phone / Fax expense per pack-ship and ASN </t>
  </si>
  <si>
    <t>Total spend on CSRs</t>
  </si>
  <si>
    <t>Total spend on Planners and Purchasers</t>
  </si>
  <si>
    <t>Total spend on Shipment related employees</t>
  </si>
  <si>
    <t>Total # Transactions in Order processing (Customer Orders + POs + ASNs)</t>
  </si>
  <si>
    <t xml:space="preserve">% Time spent by Planners / Purchasers </t>
  </si>
  <si>
    <t>% Time spent by Pick-pack and ASN related employees</t>
  </si>
  <si>
    <t>Current average Lead-time (In days) in fulfilling customer order (Order Placing to Invoicing)</t>
  </si>
  <si>
    <t>Yearly maintenance costs</t>
  </si>
  <si>
    <t>Yearly Order transactions</t>
  </si>
  <si>
    <t>Benefits:</t>
  </si>
  <si>
    <t>Order to Invoice LT in current system (days)</t>
  </si>
  <si>
    <t>Order to Invoice with gradual transition to RN (days)</t>
  </si>
  <si>
    <t>Savings in terms of Years</t>
  </si>
  <si>
    <t>Savings in # of days</t>
  </si>
  <si>
    <t>Benefits due to reduction in inventory holding cost</t>
  </si>
  <si>
    <t>Software Costs (buying ready-made middleware software etc)</t>
  </si>
  <si>
    <t>Total Processing Costs</t>
  </si>
  <si>
    <t>Man Power Reduction</t>
  </si>
  <si>
    <t>Cost Per Order (If NOT moved to RN)</t>
  </si>
  <si>
    <t>Average pay rate per year</t>
  </si>
  <si>
    <t>Savings per Order</t>
  </si>
  <si>
    <t>Total Order Savings</t>
  </si>
  <si>
    <t>COSTS</t>
  </si>
  <si>
    <t>SAVINGS</t>
  </si>
  <si>
    <t>Delta (Savings - Costs)</t>
  </si>
  <si>
    <t>NPV</t>
  </si>
  <si>
    <t>IRR</t>
  </si>
  <si>
    <t>Estimate of  sales revenue growth</t>
  </si>
  <si>
    <t>Average days of Inventory on-hand (Company Policy)</t>
  </si>
  <si>
    <t>Savings due to error reduction</t>
  </si>
  <si>
    <t>Buy Side</t>
  </si>
  <si>
    <t>CUSTOMER END</t>
  </si>
  <si>
    <t>SUPPLIER END</t>
  </si>
  <si>
    <t xml:space="preserve">USER GENERATES </t>
  </si>
  <si>
    <t>PURCHASE REQUEST/INDENT</t>
  </si>
  <si>
    <t>RFQ GENERATED AUTO.</t>
  </si>
  <si>
    <t>IN THE LEGACY SYSTEM</t>
  </si>
  <si>
    <t>SUPPLIERS NOTIFIED</t>
  </si>
  <si>
    <t xml:space="preserve">                                 </t>
  </si>
  <si>
    <t xml:space="preserve">                             PIP 3 A1</t>
  </si>
  <si>
    <t>THRU INTERNET</t>
  </si>
  <si>
    <t xml:space="preserve"> SUPPLIERS RECEIVE</t>
  </si>
  <si>
    <t xml:space="preserve">   ACKNOWLEDGE</t>
  </si>
  <si>
    <t>RFQ AND ACKNOWLEDGE</t>
  </si>
  <si>
    <t xml:space="preserve">      PIP 3 A10</t>
  </si>
  <si>
    <t>LEGACY SYSTEM</t>
  </si>
  <si>
    <t>No (manual)</t>
  </si>
  <si>
    <t>MARKETING AGENT</t>
  </si>
  <si>
    <t>AUTORESPONDS?</t>
  </si>
  <si>
    <t>RECEIVES RFQ</t>
  </si>
  <si>
    <t xml:space="preserve">      Yes</t>
  </si>
  <si>
    <t>SUPPLIERS COMPUTER</t>
  </si>
  <si>
    <t xml:space="preserve">            Yes</t>
  </si>
  <si>
    <t>NO</t>
  </si>
  <si>
    <t>SYSTEM PREPARES QTN.</t>
  </si>
  <si>
    <t>(DEPENDING ON RULES)</t>
  </si>
  <si>
    <t>CUSTOMER RECEIVES</t>
  </si>
  <si>
    <t>SEND QUOTATION TO</t>
  </si>
  <si>
    <t>QUOTATION</t>
  </si>
  <si>
    <t>CUSTOMER</t>
  </si>
  <si>
    <t>ACKNOWLEDGE</t>
  </si>
  <si>
    <t>PIP 3 A10</t>
  </si>
  <si>
    <t>LEGACY SYSTEM COMPARES</t>
  </si>
  <si>
    <t xml:space="preserve">ONLINE THE PRICE, QUALITY </t>
  </si>
  <si>
    <t>AND AVAILABILITY</t>
  </si>
  <si>
    <t>BUYER STUDIES AND</t>
  </si>
  <si>
    <t>EVALUATES QUOTES</t>
  </si>
  <si>
    <t xml:space="preserve">No </t>
  </si>
  <si>
    <t xml:space="preserve">      Yes </t>
  </si>
  <si>
    <t>Sell side</t>
  </si>
  <si>
    <t>Part B - For Direct Materials / Strategic sourced items</t>
  </si>
  <si>
    <t>GENERATE RFQ</t>
  </si>
  <si>
    <t>SUPPLIER RECEIVES THE RFQ</t>
  </si>
  <si>
    <t>PIP 3A1</t>
  </si>
  <si>
    <t>PREPARES AND SENDS</t>
  </si>
  <si>
    <t>CUSTOMER'S SYSTEM</t>
  </si>
  <si>
    <t>PIP 3A10</t>
  </si>
  <si>
    <t>SENDS ACKNOWLDGMNT</t>
  </si>
  <si>
    <t>COMPARE PRICE, QUALITY</t>
  </si>
  <si>
    <t>PIP 3A2</t>
  </si>
  <si>
    <t xml:space="preserve">                        NO</t>
  </si>
  <si>
    <t>NEGOTIATE WITH SHORTLISTED SUPPLIERS</t>
  </si>
  <si>
    <t>CUSTMER POSTS RFQ ONLINE</t>
  </si>
  <si>
    <t>INTERNET</t>
  </si>
  <si>
    <t>COMPANY RECEIVES</t>
  </si>
  <si>
    <t>OR SENDS TO SUPPLIER</t>
  </si>
  <si>
    <t xml:space="preserve">Yes </t>
  </si>
  <si>
    <t>MKTG AGENT PREPARES</t>
  </si>
  <si>
    <t xml:space="preserve">QTN MANUALLY(USING </t>
  </si>
  <si>
    <t>LEG. SYS TOOLS,WEB)</t>
  </si>
  <si>
    <t xml:space="preserve">         No </t>
  </si>
  <si>
    <t>AUTO PREPARE QUOTATION</t>
  </si>
  <si>
    <t>DEPEND ON BUSS. RULES</t>
  </si>
  <si>
    <t>Yes</t>
  </si>
  <si>
    <t xml:space="preserve">CUSTOMER RECEIVES AND </t>
  </si>
  <si>
    <t>REVIEWS</t>
  </si>
  <si>
    <t>SUPPLIER</t>
  </si>
  <si>
    <t>PIP 3A4</t>
  </si>
  <si>
    <t>Sales Revenue (in '000 Dollars)</t>
  </si>
  <si>
    <t>Total Secondary Orders</t>
  </si>
  <si>
    <t>Average secondary orders per primary order</t>
  </si>
  <si>
    <t>In Days</t>
  </si>
  <si>
    <t>(%)</t>
  </si>
  <si>
    <t>Interest Rate used by the Corporation (ex. 15)</t>
  </si>
  <si>
    <t>in Days</t>
  </si>
  <si>
    <t>(in '000)</t>
  </si>
  <si>
    <t>Total Number of PIPs</t>
  </si>
  <si>
    <t>Total Number of PIPs related to Order management (Cluster 3) - Customer Side</t>
  </si>
  <si>
    <t>Total Number of PIPs related to Order management (Cluster 3) - Supplier / Logistics Side</t>
  </si>
  <si>
    <t>Percentage of PIPs related to Order Management (Cluster 3)</t>
  </si>
  <si>
    <t>% of hardware cost allocated to Order Management</t>
  </si>
  <si>
    <t>% of software cost allocated to Order Management</t>
  </si>
  <si>
    <t>Software upgrade costs per year (for eg. $10,000 spent every two years for upgrading a software  = $5000 per year)</t>
  </si>
  <si>
    <t>No. of FTE devoted to completely manage the system (can be in fractions. For ex. 1.5 would imply 1 full time and 1 part-time)</t>
  </si>
  <si>
    <t>Average Annual Pay of these FTEs</t>
  </si>
  <si>
    <t>No. of CSR employees (Taking customer orders, performing credit check, Confirming Order, entering confirmed order into the System)</t>
  </si>
  <si>
    <t>From earlier data, Order to Invoice LT in current System</t>
  </si>
  <si>
    <t>(in days)</t>
  </si>
  <si>
    <t>Benefits due to reduction in processing lead time:</t>
  </si>
  <si>
    <t>Any other cost associate with processing orders</t>
  </si>
  <si>
    <t>No. of Parent Orders (in '000)</t>
  </si>
  <si>
    <t>Your best guess on Order to Invoice leadtime in a "fully automated standards based RN system"</t>
  </si>
  <si>
    <t>Total (Must add to 100%)</t>
  </si>
  <si>
    <t>Cost per Order in a completely automated, standardized based RosettaNet system</t>
  </si>
  <si>
    <t>(Note: This is the weighted cost)</t>
  </si>
  <si>
    <t>Interest Benefit due to "early Invoicing" (in '000)</t>
  </si>
  <si>
    <t>Reduction in total Lead-time (Fraction of original LT)</t>
  </si>
  <si>
    <t>Reduction in on-hand Inventory (Fraction of original on-hand inventory)</t>
  </si>
  <si>
    <t>Avg. $$ Value of on-hand Inventory</t>
  </si>
  <si>
    <t>Average time spent (Weighted)</t>
  </si>
  <si>
    <t>Total Personnel involved (CSR+ Planners + Shipment related</t>
  </si>
  <si>
    <t>Average Pay rate / Year</t>
  </si>
  <si>
    <t>Reduction in # of personnell</t>
  </si>
  <si>
    <t>Avg. Pay Rate (Weighted in '000)</t>
  </si>
  <si>
    <t>Reduction due to reduced Errors</t>
  </si>
  <si>
    <t>Headcount savings:</t>
  </si>
  <si>
    <t>Leadtime Savings:</t>
  </si>
  <si>
    <t>Buy Side - Total RFQ relate transactions in 2001 (No. of RFQs received  + no. of  negotiation transactions)</t>
  </si>
  <si>
    <t>Total transactions related to RFQ</t>
  </si>
  <si>
    <t>Sell Side - Total RFQ relate transactions in 2001 (No. of RFQs sent to customers + no. of  negotiation transactions)</t>
  </si>
  <si>
    <t>Estimate of growth in # of total RFQ related transactions as business grows</t>
  </si>
  <si>
    <t>Data:</t>
  </si>
  <si>
    <t>RFQ processing lead-time</t>
  </si>
  <si>
    <t>With 100% automation and standardized systems, what do you think will be the lead-time (in days) from customer sending an RFQ to the order getting confirmed</t>
  </si>
  <si>
    <t xml:space="preserve">How would RFQs be processed for the next 5 years? </t>
  </si>
  <si>
    <t>Present Cost of each RFQ transaction:</t>
  </si>
  <si>
    <t>Savings</t>
  </si>
  <si>
    <t>Total Cost of Transactions if not moved to RN</t>
  </si>
  <si>
    <t>Total Cost of Transactions if gradually moved to RN</t>
  </si>
  <si>
    <t>Total no. of RFQ transactions</t>
  </si>
  <si>
    <t>With present systems, what is the average lead-time (in days) it takes from receiving an RFQ to confirming it / sending an RFQ to placing Order</t>
  </si>
  <si>
    <t>Cost of each RFQ related transaction in a completely automated, standards based RN system (Best Assumption)</t>
  </si>
  <si>
    <t>Costs and Savings:</t>
  </si>
  <si>
    <t>Order Processing Costs Savings</t>
  </si>
  <si>
    <t>RFQ Processing Cost Savings</t>
  </si>
  <si>
    <r>
      <t xml:space="preserve"># Customer Orders received in 2001 - </t>
    </r>
    <r>
      <rPr>
        <i/>
        <sz val="10"/>
        <rFont val="Arial"/>
        <family val="2"/>
      </rPr>
      <t>(we call these as primary orders)</t>
    </r>
  </si>
  <si>
    <r>
      <t xml:space="preserve">Assuming each customer order has multiple production dates and shipdates what were the total Purchase Orders and Production Orders sent by you to downstream partners in 2001 </t>
    </r>
    <r>
      <rPr>
        <i/>
        <sz val="10"/>
        <rFont val="Arial"/>
        <family val="2"/>
      </rPr>
      <t>(Secondary Orders)</t>
    </r>
  </si>
  <si>
    <r>
      <t xml:space="preserve">Total Shipment pick-up Notices sent and ASNs (Advanced Ship Notices) in 2001 </t>
    </r>
    <r>
      <rPr>
        <i/>
        <sz val="10"/>
        <rFont val="Arial"/>
        <family val="2"/>
      </rPr>
      <t>(Secondary Orders)</t>
    </r>
  </si>
  <si>
    <r>
      <t xml:space="preserve">Time spent for Errors - </t>
    </r>
    <r>
      <rPr>
        <u val="single"/>
        <sz val="10"/>
        <rFont val="Arial"/>
        <family val="2"/>
      </rPr>
      <t>% of time spent in correcting errors (due to wrong keying, misprint in Fax, incorrect EDI signal etc)</t>
    </r>
  </si>
  <si>
    <t>(Data in Cost_PO sheet needs to be filled to get this result)</t>
  </si>
  <si>
    <t>(days)</t>
  </si>
  <si>
    <t>END OF SHEET - Go to Next Sheet</t>
  </si>
  <si>
    <r>
      <t>Annual IT budget for Order Management (</t>
    </r>
    <r>
      <rPr>
        <b/>
        <u val="single"/>
        <sz val="12"/>
        <rFont val="Arial"/>
        <family val="2"/>
      </rPr>
      <t>Including EDI expenses</t>
    </r>
    <r>
      <rPr>
        <sz val="12"/>
        <rFont val="Arial"/>
        <family val="2"/>
      </rPr>
      <t xml:space="preserve"> for receiving Order, sending Acknowledgements, Placing Orders to Suppliers etc))</t>
    </r>
  </si>
  <si>
    <t>Your best guess on Order to Invoice leadtime in a "fully automated system"</t>
  </si>
  <si>
    <t>With 100% automation systems, what do you think will be the lead-time (in days) from customer sending an RFQ to the order getting confirmed</t>
  </si>
  <si>
    <t>Cost per Order in a completely automated web based system</t>
  </si>
  <si>
    <t>What is your best estimate of percentage of cost per order reduction incurred with completely automated web-based system?</t>
  </si>
  <si>
    <t>Cost Per Order (If gradually moved to Web-based system)</t>
  </si>
  <si>
    <t>COSTS RELATED WITH PURCHASE ORDERS:</t>
  </si>
  <si>
    <t>END OF SHEET</t>
  </si>
  <si>
    <t>ROI Calculator: Cluster 3 (Order Management) - PIPs 3A and 3B</t>
  </si>
  <si>
    <t>Note: User needs to plug values only for the fileds marked in gray.</t>
  </si>
  <si>
    <t>No User input required</t>
  </si>
  <si>
    <t>No user input required</t>
  </si>
  <si>
    <t>Total Costs</t>
  </si>
  <si>
    <t>Total Savings</t>
  </si>
  <si>
    <t>NPV (Net Flow)</t>
  </si>
  <si>
    <t>NPV (Costs)</t>
  </si>
  <si>
    <t>NPV (Benefits)</t>
  </si>
  <si>
    <t>Ratio Benefits to Costs</t>
  </si>
  <si>
    <t>(Cash Outflow)</t>
  </si>
  <si>
    <t>(Cash Inflow)</t>
  </si>
  <si>
    <t>Net Inflow (Total Savings - Total Costs)</t>
  </si>
  <si>
    <r>
      <t>Important note</t>
    </r>
    <r>
      <rPr>
        <sz val="12"/>
        <rFont val="Arial"/>
        <family val="2"/>
      </rPr>
      <t>: Since web-application require installing custom software at each partner site, we believe that the acceptance among the partner community would be less as compared to standard-based RosettaNet system. As such, more personnel will be required to develop and continually update the software at various partner sites and train people on using the software, thus incurring a higher cost of development, maintenance and a lower rate of acceptance among the partner community. Acceptance among the partner community will highly depend on the power of the partner.</t>
    </r>
  </si>
  <si>
    <t>PREPARES QUOTE</t>
  </si>
  <si>
    <t>NOTIFY SUPPLIER</t>
  </si>
  <si>
    <t>RECEIVE NOTIFICATION</t>
  </si>
  <si>
    <t>No</t>
  </si>
  <si>
    <t>PIP 3A7</t>
  </si>
  <si>
    <t>Business Process: Place New Purchase Order</t>
  </si>
  <si>
    <t xml:space="preserve"> Business Process: From RFQ to Procurement Decision</t>
  </si>
  <si>
    <t>PIP 3A5 or 3A6</t>
  </si>
  <si>
    <t>Business Process: Modify or Cancel Purchase Order</t>
  </si>
  <si>
    <t>PIP 3A8 or 3A9</t>
  </si>
  <si>
    <t>Annual Interest Rate used by the Corporation (ex. 15)</t>
  </si>
  <si>
    <r>
      <t xml:space="preserve">Number of Customer Orders received in 2001 - </t>
    </r>
    <r>
      <rPr>
        <i/>
        <sz val="10"/>
        <rFont val="Arial"/>
        <family val="2"/>
      </rPr>
      <t>(we call these as primary orders)</t>
    </r>
  </si>
  <si>
    <r>
      <t xml:space="preserve">Assuming each customer order has multiple production dates and shipping dates what were the total Purchase Orders and Production Orders sent by you to downstream partners in 2001 </t>
    </r>
    <r>
      <rPr>
        <i/>
        <sz val="10"/>
        <rFont val="Arial"/>
        <family val="2"/>
      </rPr>
      <t>(Secondary Orders)</t>
    </r>
  </si>
  <si>
    <t>Estimate growth in number of Customer Orders as business grows</t>
  </si>
  <si>
    <t>% Simple Web Applications</t>
  </si>
  <si>
    <t>% RosettaNet</t>
  </si>
  <si>
    <r>
      <t xml:space="preserve">Time spent on Errors - </t>
    </r>
    <r>
      <rPr>
        <u val="single"/>
        <sz val="10"/>
        <rFont val="Arial"/>
        <family val="2"/>
      </rPr>
      <t>% of time spent in correcting errors (due to wrong keying, misprint in Fax, incorrect EDI signal etc)</t>
    </r>
  </si>
  <si>
    <t>% Time spent by CSRs (for example, 30%)</t>
  </si>
  <si>
    <t>Basic Data</t>
  </si>
  <si>
    <t>Number of Planning Managers releasing production plans / placing orders to suppliers</t>
  </si>
  <si>
    <t>What is your best estimate of percentage of cost reduction per order incurred with complete RosettaNet systems?</t>
  </si>
  <si>
    <t>Hardware costs allocated to Order Management</t>
  </si>
  <si>
    <t>Software costs allocated to Order Management</t>
  </si>
  <si>
    <t>Number of FTE in the team</t>
  </si>
  <si>
    <t>No. of FTE devoted completely to manage the system (can be in fractions. For ex. 1.5 would imply 1 full time and 1 part-time)</t>
  </si>
  <si>
    <t>RosettaNet Consortium Fees</t>
  </si>
  <si>
    <r>
      <t>Note</t>
    </r>
    <r>
      <rPr>
        <sz val="12"/>
        <rFont val="Arial"/>
        <family val="2"/>
      </rPr>
      <t xml:space="preserve">: </t>
    </r>
    <r>
      <rPr>
        <i/>
        <sz val="12"/>
        <rFont val="Arial"/>
        <family val="2"/>
      </rPr>
      <t>As the RosettaNet Consortium moves from the sponsor funded to a self funded model of operation, Consortium fees are expected to decline to zero over time</t>
    </r>
  </si>
  <si>
    <t>Costs of System Implementation</t>
  </si>
  <si>
    <t>Avg. Pay Rate (Weighted Average)</t>
  </si>
  <si>
    <t>Average Cost Per Order (If gradually moved to RN)</t>
  </si>
  <si>
    <t>(Note: This is the weighted time)</t>
  </si>
  <si>
    <t>Avg. Order to Invoice LT with gradual transition to RN (days)</t>
  </si>
  <si>
    <t>LT Reduction in Days</t>
  </si>
  <si>
    <t>LT Reduction in Years</t>
  </si>
  <si>
    <t>Interest Benefit due to "early Invoicing"</t>
  </si>
  <si>
    <t>Manpower Reduction</t>
  </si>
  <si>
    <t xml:space="preserve">How would Customer Orders be processed over the next 5 years? </t>
  </si>
  <si>
    <t>Reduction in Order Processing Costs</t>
  </si>
  <si>
    <t>Benefits due to earlier invoicing</t>
  </si>
  <si>
    <t>Reduction in Inventory Holding Costs</t>
  </si>
  <si>
    <t>Reduction in # of personnel</t>
  </si>
  <si>
    <t>Estimated growth in total number of RFQ-related transactions as business grows</t>
  </si>
  <si>
    <t>With present systems, what is the average lead-time (in days) it takes from (sell side:) receiving an RFQ to responding to it / (buy side:) sending an RFQ to placing a Purchase Order</t>
  </si>
  <si>
    <t xml:space="preserve">How are RFQs expected to be transferred and processed for the next 5 years? </t>
  </si>
  <si>
    <t>% Advanced Web-Based Applications</t>
  </si>
  <si>
    <t xml:space="preserve">   Interest Savings</t>
  </si>
  <si>
    <t>Business Process: Place New Shipment Pick-up Notice</t>
  </si>
  <si>
    <t>SHIPMENT REQUESTER</t>
  </si>
  <si>
    <t>TRANSPORTATION PROVIDER</t>
  </si>
  <si>
    <t>PIP 3B1</t>
  </si>
  <si>
    <t>PIP 3B2, 3B11</t>
  </si>
  <si>
    <t>Business Process: Modify or Cancel Shipping Order</t>
  </si>
  <si>
    <t>PIP 3B5 or 3B14</t>
  </si>
  <si>
    <t>PIP 3B3, 3B4, 3B6</t>
  </si>
  <si>
    <t>Estimated reduction whould take into account the reduction in manpower, telephone / Fax / EDI expenses etc</t>
  </si>
  <si>
    <t>This perentage will be less than or equal to the percentage of reduction assumed with RosettaNet (standard) systems. The reason we feel it might be less tha standard system is that Standards enable end-to-end connectivity and a homegenous interface which is more efficient.</t>
  </si>
  <si>
    <t>From earlier data, Order to Invoice lead-time in current System</t>
  </si>
  <si>
    <t>(Data in Cost_PO_RN sheet needs to be filled to get this result)</t>
  </si>
  <si>
    <r>
      <t xml:space="preserve">Time spent on Errors - </t>
    </r>
    <r>
      <rPr>
        <u val="single"/>
        <sz val="12"/>
        <rFont val="Arial"/>
        <family val="2"/>
      </rPr>
      <t>% of time spent in correcting errors (due to wrong keying, misprint in Fax, incorrect EDI signal etc)</t>
    </r>
  </si>
  <si>
    <t xml:space="preserve">% Time spent by Purchasers </t>
  </si>
  <si>
    <t>No. of Purchasers dealing with RFQs</t>
  </si>
  <si>
    <t xml:space="preserve">   Due to reduction in error (PO+RFQ)</t>
  </si>
  <si>
    <t>Reduction due to reduced Errors (PO)</t>
  </si>
  <si>
    <t>Manpower reduction due to reduced Errors (RFQ)</t>
  </si>
  <si>
    <t>Referring to your priliminary RosettaNet Analysis, what is the estimated total number of PIPs that you plan to implement as part of your change efforts?</t>
  </si>
  <si>
    <t>Software upgrade costs per year (for ex. $10,000 spent every two years for upgrading a software  = $5,000 per year)</t>
  </si>
  <si>
    <t>Average Annual Pay for each FTE</t>
  </si>
  <si>
    <t>Average annual pay rate per CSR employee</t>
  </si>
  <si>
    <t>Average annual pay rate per planning manager</t>
  </si>
  <si>
    <t>Average annual pay rate per employee</t>
  </si>
  <si>
    <t>Note: The approximate cost per order in a RN system can also be found by plugging relevant numbers in the cost table used for non-RN based system (Current sheet, cells C34 to C54). With automation of system, number of CSRs, Planners and shipment related personnell are expected to decrease. Similarly, IT costs will reduce due to reduction in EDI expenses.</t>
  </si>
  <si>
    <t>Average time spent on errors (Weighted)</t>
  </si>
  <si>
    <t>Buy Side: Total RFQ related transactions in 2001 (No. of RFQs received  + no. of  negotiation transactions)</t>
  </si>
  <si>
    <t>Sell Side: Total RFQ relate transactions in 2001 (No. of RFQs sent to customers + no. of  negotiation transactions)</t>
  </si>
  <si>
    <t>Average annual pay per Purchaser</t>
  </si>
  <si>
    <t>Note: The approximate cost per order in a RN system can also be found by plugging relevant numbers in the cost table used for non-RN based system (Current sheet, cells C73 to C93). With automation of system, number of CSRs, Planners and shipment related personnell are expected to decrease. Similarly, IT costs will reduce due to reduction in EDI expenses.</t>
  </si>
  <si>
    <t xml:space="preserve">   Savings in Inventory Holding Costs</t>
  </si>
  <si>
    <t xml:space="preserve">   Savings in Inventory Holding Costs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</si>
</sst>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
    <numFmt numFmtId="168" formatCode="#,##0.0"/>
  </numFmts>
  <fonts count="21">
    <font>
      <sz val="10"/>
      <name val="Arial"/>
      <family val="0"/>
    </font>
    <font>
      <u val="single"/>
      <sz val="10"/>
      <color indexed="12"/>
      <name val="Arial"/>
      <family val="0"/>
    </font>
    <font>
      <u val="single"/>
      <sz val="10"/>
      <color indexed="36"/>
      <name val="Arial"/>
      <family val="0"/>
    </font>
    <font>
      <sz val="8"/>
      <name val="Arial"/>
      <family val="2"/>
    </font>
    <font>
      <b/>
      <sz val="12"/>
      <name val="Arial"/>
      <family val="2"/>
    </font>
    <font>
      <b/>
      <sz val="8"/>
      <name val="Arial"/>
      <family val="2"/>
    </font>
    <font>
      <b/>
      <u val="single"/>
      <sz val="12"/>
      <name val="Arial"/>
      <family val="2"/>
    </font>
    <font>
      <sz val="12"/>
      <name val="Arial"/>
      <family val="2"/>
    </font>
    <font>
      <i/>
      <sz val="12"/>
      <name val="Arial"/>
      <family val="2"/>
    </font>
    <font>
      <b/>
      <i/>
      <sz val="12"/>
      <name val="Arial"/>
      <family val="2"/>
    </font>
    <font>
      <b/>
      <u val="single"/>
      <sz val="10"/>
      <name val="Arial"/>
      <family val="2"/>
    </font>
    <font>
      <i/>
      <sz val="10"/>
      <name val="Arial"/>
      <family val="2"/>
    </font>
    <font>
      <u val="single"/>
      <sz val="10"/>
      <name val="Arial"/>
      <family val="2"/>
    </font>
    <font>
      <sz val="16"/>
      <name val="Arial"/>
      <family val="2"/>
    </font>
    <font>
      <sz val="10"/>
      <name val="Tahoma"/>
      <family val="0"/>
    </font>
    <font>
      <b/>
      <sz val="10"/>
      <name val="Tahoma"/>
      <family val="0"/>
    </font>
    <font>
      <b/>
      <u val="single"/>
      <sz val="14"/>
      <name val="Arial"/>
      <family val="2"/>
    </font>
    <font>
      <b/>
      <i/>
      <u val="single"/>
      <sz val="12"/>
      <name val="Arial"/>
      <family val="2"/>
    </font>
    <font>
      <sz val="8"/>
      <name val="Tahoma"/>
      <family val="0"/>
    </font>
    <font>
      <b/>
      <sz val="8"/>
      <name val="Tahoma"/>
      <family val="0"/>
    </font>
    <font>
      <u val="single"/>
      <sz val="12"/>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54">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medium"/>
      <right style="thin"/>
      <top style="medium"/>
      <bottom style="thin"/>
    </border>
    <border>
      <left style="medium"/>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color indexed="63"/>
      </bottom>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style="medium"/>
    </border>
    <border>
      <left style="medium"/>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medium"/>
      <top style="thin"/>
      <bottom>
        <color indexed="63"/>
      </bottom>
    </border>
    <border>
      <left style="thin"/>
      <right style="medium"/>
      <top>
        <color indexed="63"/>
      </top>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color indexed="63"/>
      </left>
      <right style="medium"/>
      <top style="medium"/>
      <bottom style="medium"/>
    </border>
    <border>
      <left style="medium"/>
      <right>
        <color indexed="63"/>
      </right>
      <top style="thin"/>
      <bottom style="medium"/>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11">
    <xf numFmtId="0" fontId="0" fillId="0" borderId="0" xfId="0"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horizontal="center"/>
    </xf>
    <xf numFmtId="0" fontId="3" fillId="0" borderId="0" xfId="0" applyFont="1" applyAlignment="1">
      <alignment horizontal="center"/>
    </xf>
    <xf numFmtId="0" fontId="5" fillId="0" borderId="0" xfId="0" applyFont="1" applyAlignment="1">
      <alignment/>
    </xf>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left"/>
    </xf>
    <xf numFmtId="0" fontId="5" fillId="0" borderId="0" xfId="0" applyFont="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xf>
    <xf numFmtId="0" fontId="3" fillId="0" borderId="2" xfId="0" applyFont="1" applyBorder="1" applyAlignment="1">
      <alignment/>
    </xf>
    <xf numFmtId="0" fontId="3" fillId="0" borderId="1" xfId="0" applyFont="1" applyBorder="1" applyAlignment="1">
      <alignment/>
    </xf>
    <xf numFmtId="0" fontId="3" fillId="0" borderId="4" xfId="0" applyFont="1" applyBorder="1" applyAlignment="1">
      <alignment/>
    </xf>
    <xf numFmtId="0" fontId="6" fillId="0" borderId="0" xfId="0" applyFont="1" applyAlignment="1">
      <alignment/>
    </xf>
    <xf numFmtId="0" fontId="7" fillId="0" borderId="0" xfId="0" applyFont="1" applyAlignment="1">
      <alignment wrapText="1"/>
    </xf>
    <xf numFmtId="0" fontId="7" fillId="0" borderId="0" xfId="0" applyFont="1" applyAlignment="1">
      <alignment/>
    </xf>
    <xf numFmtId="0" fontId="7" fillId="0" borderId="5" xfId="0" applyFont="1" applyBorder="1" applyAlignment="1">
      <alignment wrapText="1"/>
    </xf>
    <xf numFmtId="0" fontId="7" fillId="0" borderId="6" xfId="0" applyFont="1" applyBorder="1" applyAlignment="1">
      <alignment wrapText="1"/>
    </xf>
    <xf numFmtId="0" fontId="6" fillId="0" borderId="0" xfId="0" applyFont="1" applyAlignment="1">
      <alignment wrapText="1"/>
    </xf>
    <xf numFmtId="0" fontId="7" fillId="0" borderId="0" xfId="0" applyFont="1" applyBorder="1" applyAlignment="1">
      <alignment/>
    </xf>
    <xf numFmtId="0" fontId="7" fillId="0" borderId="7" xfId="0" applyFont="1" applyBorder="1" applyAlignment="1">
      <alignment wrapText="1"/>
    </xf>
    <xf numFmtId="0" fontId="7" fillId="2" borderId="8" xfId="0" applyFont="1" applyFill="1" applyBorder="1" applyAlignment="1">
      <alignment/>
    </xf>
    <xf numFmtId="0" fontId="7" fillId="0" borderId="9" xfId="0" applyFont="1" applyBorder="1" applyAlignment="1">
      <alignment wrapText="1"/>
    </xf>
    <xf numFmtId="0" fontId="7" fillId="2" borderId="10" xfId="0" applyFont="1" applyFill="1" applyBorder="1" applyAlignment="1">
      <alignment/>
    </xf>
    <xf numFmtId="0" fontId="7" fillId="0" borderId="0" xfId="0" applyFont="1" applyBorder="1" applyAlignment="1">
      <alignment wrapText="1"/>
    </xf>
    <xf numFmtId="0" fontId="7" fillId="0" borderId="11" xfId="0" applyFont="1" applyBorder="1" applyAlignment="1">
      <alignment/>
    </xf>
    <xf numFmtId="0" fontId="7" fillId="0" borderId="12" xfId="0" applyFont="1" applyBorder="1" applyAlignment="1">
      <alignment/>
    </xf>
    <xf numFmtId="0" fontId="7" fillId="2" borderId="12" xfId="0" applyFont="1" applyFill="1" applyBorder="1" applyAlignment="1">
      <alignment/>
    </xf>
    <xf numFmtId="0" fontId="7" fillId="0" borderId="13" xfId="0" applyFont="1" applyBorder="1" applyAlignment="1">
      <alignment wrapText="1"/>
    </xf>
    <xf numFmtId="0" fontId="7" fillId="0" borderId="14" xfId="0" applyFont="1" applyBorder="1" applyAlignment="1">
      <alignment/>
    </xf>
    <xf numFmtId="0" fontId="7" fillId="0" borderId="12" xfId="0" applyFont="1" applyFill="1" applyBorder="1" applyAlignment="1">
      <alignment/>
    </xf>
    <xf numFmtId="9" fontId="7" fillId="0" borderId="14" xfId="0" applyNumberFormat="1" applyFont="1" applyBorder="1" applyAlignment="1">
      <alignment/>
    </xf>
    <xf numFmtId="0" fontId="4" fillId="0" borderId="15" xfId="0" applyFont="1" applyBorder="1" applyAlignment="1">
      <alignment wrapText="1"/>
    </xf>
    <xf numFmtId="0" fontId="7" fillId="0" borderId="16" xfId="0" applyFont="1" applyBorder="1" applyAlignment="1">
      <alignment/>
    </xf>
    <xf numFmtId="164" fontId="7" fillId="0" borderId="17" xfId="0" applyNumberFormat="1" applyFont="1" applyBorder="1" applyAlignment="1">
      <alignment/>
    </xf>
    <xf numFmtId="0" fontId="7" fillId="0" borderId="18" xfId="0" applyFont="1" applyBorder="1" applyAlignment="1">
      <alignment wrapText="1"/>
    </xf>
    <xf numFmtId="165" fontId="7" fillId="2" borderId="19" xfId="0" applyNumberFormat="1" applyFont="1" applyFill="1" applyBorder="1" applyAlignment="1">
      <alignment/>
    </xf>
    <xf numFmtId="164" fontId="7" fillId="0" borderId="20" xfId="0" applyNumberFormat="1" applyFont="1" applyBorder="1" applyAlignment="1">
      <alignment/>
    </xf>
    <xf numFmtId="0" fontId="7" fillId="0" borderId="21" xfId="0" applyFont="1" applyBorder="1" applyAlignment="1">
      <alignment/>
    </xf>
    <xf numFmtId="165" fontId="7" fillId="2" borderId="21" xfId="0" applyNumberFormat="1" applyFont="1" applyFill="1" applyBorder="1" applyAlignment="1">
      <alignment/>
    </xf>
    <xf numFmtId="0" fontId="7" fillId="2" borderId="21" xfId="0" applyFont="1" applyFill="1" applyBorder="1" applyAlignment="1">
      <alignment/>
    </xf>
    <xf numFmtId="9" fontId="7" fillId="2" borderId="22" xfId="0" applyNumberFormat="1" applyFont="1" applyFill="1" applyBorder="1" applyAlignment="1">
      <alignment/>
    </xf>
    <xf numFmtId="0" fontId="4" fillId="0" borderId="0" xfId="0" applyFont="1" applyBorder="1" applyAlignment="1">
      <alignment wrapText="1"/>
    </xf>
    <xf numFmtId="165" fontId="7" fillId="2" borderId="12" xfId="0" applyNumberFormat="1" applyFont="1" applyFill="1" applyBorder="1" applyAlignment="1">
      <alignment/>
    </xf>
    <xf numFmtId="165" fontId="7" fillId="0" borderId="10" xfId="0" applyNumberFormat="1" applyFont="1" applyFill="1" applyBorder="1" applyAlignment="1">
      <alignment/>
    </xf>
    <xf numFmtId="0" fontId="4" fillId="0" borderId="5" xfId="0" applyFont="1" applyBorder="1" applyAlignment="1">
      <alignment wrapText="1"/>
    </xf>
    <xf numFmtId="165" fontId="7" fillId="2" borderId="3" xfId="0" applyNumberFormat="1" applyFont="1" applyFill="1" applyBorder="1" applyAlignment="1">
      <alignment/>
    </xf>
    <xf numFmtId="165" fontId="7" fillId="2" borderId="8" xfId="0" applyNumberFormat="1" applyFont="1" applyFill="1" applyBorder="1" applyAlignment="1">
      <alignment/>
    </xf>
    <xf numFmtId="0" fontId="7" fillId="0" borderId="0" xfId="0" applyNumberFormat="1" applyFont="1" applyBorder="1" applyAlignment="1">
      <alignment/>
    </xf>
    <xf numFmtId="0" fontId="7" fillId="0" borderId="23" xfId="0" applyFont="1" applyBorder="1" applyAlignment="1">
      <alignment wrapText="1"/>
    </xf>
    <xf numFmtId="0" fontId="7" fillId="2" borderId="24" xfId="0" applyFont="1" applyFill="1" applyBorder="1" applyAlignment="1">
      <alignment/>
    </xf>
    <xf numFmtId="165" fontId="7" fillId="2" borderId="25" xfId="0" applyNumberFormat="1" applyFont="1" applyFill="1" applyBorder="1" applyAlignment="1">
      <alignment/>
    </xf>
    <xf numFmtId="0" fontId="7" fillId="0" borderId="26" xfId="0" applyFont="1" applyBorder="1" applyAlignment="1">
      <alignment wrapText="1"/>
    </xf>
    <xf numFmtId="0" fontId="7" fillId="0" borderId="27" xfId="0" applyFont="1" applyBorder="1" applyAlignment="1">
      <alignment/>
    </xf>
    <xf numFmtId="0" fontId="7" fillId="2" borderId="25" xfId="0" applyFont="1" applyFill="1" applyBorder="1" applyAlignment="1">
      <alignment/>
    </xf>
    <xf numFmtId="165" fontId="7" fillId="2" borderId="28" xfId="0" applyNumberFormat="1" applyFont="1" applyFill="1" applyBorder="1" applyAlignment="1">
      <alignment/>
    </xf>
    <xf numFmtId="9" fontId="7" fillId="0" borderId="12" xfId="0" applyNumberFormat="1" applyFont="1" applyBorder="1" applyAlignment="1">
      <alignment/>
    </xf>
    <xf numFmtId="0" fontId="7" fillId="0" borderId="8" xfId="0" applyFont="1" applyBorder="1" applyAlignment="1">
      <alignment/>
    </xf>
    <xf numFmtId="0" fontId="7" fillId="0" borderId="3" xfId="0" applyFont="1" applyBorder="1" applyAlignment="1">
      <alignment/>
    </xf>
    <xf numFmtId="0" fontId="7" fillId="0" borderId="29" xfId="0" applyFont="1" applyBorder="1" applyAlignment="1">
      <alignment wrapText="1"/>
    </xf>
    <xf numFmtId="10" fontId="7" fillId="0" borderId="11" xfId="0" applyNumberFormat="1" applyFont="1" applyBorder="1" applyAlignment="1">
      <alignment/>
    </xf>
    <xf numFmtId="0" fontId="7" fillId="0" borderId="17" xfId="0" applyFont="1" applyBorder="1" applyAlignment="1">
      <alignment wrapText="1"/>
    </xf>
    <xf numFmtId="0" fontId="4" fillId="0" borderId="15" xfId="0" applyFont="1" applyBorder="1" applyAlignment="1">
      <alignment/>
    </xf>
    <xf numFmtId="0" fontId="7" fillId="0" borderId="30" xfId="0" applyFont="1" applyBorder="1" applyAlignment="1">
      <alignment/>
    </xf>
    <xf numFmtId="0" fontId="7" fillId="0" borderId="26" xfId="0" applyFont="1" applyBorder="1" applyAlignment="1">
      <alignment/>
    </xf>
    <xf numFmtId="0" fontId="7" fillId="0" borderId="31" xfId="0" applyFont="1" applyBorder="1" applyAlignment="1">
      <alignment/>
    </xf>
    <xf numFmtId="0" fontId="4" fillId="0" borderId="26"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34" xfId="0" applyFont="1" applyBorder="1" applyAlignment="1">
      <alignment/>
    </xf>
    <xf numFmtId="0" fontId="7" fillId="0" borderId="9" xfId="0" applyFont="1" applyBorder="1" applyAlignment="1">
      <alignment/>
    </xf>
    <xf numFmtId="0" fontId="7" fillId="2" borderId="10" xfId="0" applyFont="1" applyFill="1" applyBorder="1" applyAlignment="1">
      <alignment wrapText="1"/>
    </xf>
    <xf numFmtId="9" fontId="7" fillId="2" borderId="3" xfId="0" applyNumberFormat="1" applyFont="1" applyFill="1" applyBorder="1" applyAlignment="1">
      <alignment/>
    </xf>
    <xf numFmtId="9" fontId="7" fillId="2" borderId="8" xfId="0" applyNumberFormat="1" applyFont="1" applyFill="1" applyBorder="1" applyAlignment="1">
      <alignment/>
    </xf>
    <xf numFmtId="0" fontId="0" fillId="0" borderId="0" xfId="0" applyAlignment="1">
      <alignment wrapText="1"/>
    </xf>
    <xf numFmtId="3" fontId="7" fillId="0" borderId="14" xfId="0" applyNumberFormat="1" applyFont="1" applyBorder="1" applyAlignment="1">
      <alignment/>
    </xf>
    <xf numFmtId="0" fontId="0" fillId="0" borderId="5" xfId="0" applyFont="1" applyBorder="1" applyAlignment="1">
      <alignment wrapText="1"/>
    </xf>
    <xf numFmtId="0" fontId="0" fillId="0" borderId="9" xfId="0" applyFont="1" applyBorder="1" applyAlignment="1">
      <alignment wrapText="1"/>
    </xf>
    <xf numFmtId="0" fontId="0" fillId="0" borderId="7" xfId="0" applyFont="1" applyBorder="1" applyAlignment="1">
      <alignment wrapText="1"/>
    </xf>
    <xf numFmtId="3" fontId="7" fillId="0" borderId="8" xfId="0" applyNumberFormat="1" applyFont="1" applyBorder="1" applyAlignment="1">
      <alignment/>
    </xf>
    <xf numFmtId="0" fontId="7" fillId="0" borderId="7" xfId="0" applyFont="1" applyBorder="1" applyAlignment="1">
      <alignment/>
    </xf>
    <xf numFmtId="0" fontId="7" fillId="0" borderId="35" xfId="0" applyFont="1" applyBorder="1" applyAlignment="1">
      <alignment/>
    </xf>
    <xf numFmtId="165" fontId="7" fillId="0" borderId="14" xfId="0" applyNumberFormat="1" applyFont="1" applyBorder="1" applyAlignment="1">
      <alignment/>
    </xf>
    <xf numFmtId="0" fontId="10" fillId="0" borderId="0" xfId="0" applyFont="1" applyAlignment="1">
      <alignment/>
    </xf>
    <xf numFmtId="0" fontId="0" fillId="0" borderId="0" xfId="0" applyFont="1" applyAlignment="1">
      <alignment wrapText="1"/>
    </xf>
    <xf numFmtId="0" fontId="0" fillId="0" borderId="0" xfId="0" applyFont="1" applyAlignment="1">
      <alignment/>
    </xf>
    <xf numFmtId="10" fontId="0" fillId="2" borderId="12" xfId="0" applyNumberFormat="1" applyFont="1" applyFill="1" applyBorder="1" applyAlignment="1">
      <alignment/>
    </xf>
    <xf numFmtId="0" fontId="0" fillId="0" borderId="6" xfId="0" applyFont="1" applyBorder="1" applyAlignment="1">
      <alignment wrapText="1"/>
    </xf>
    <xf numFmtId="165" fontId="0" fillId="2" borderId="36" xfId="0" applyNumberFormat="1" applyFont="1" applyFill="1" applyBorder="1" applyAlignment="1">
      <alignment/>
    </xf>
    <xf numFmtId="0" fontId="0" fillId="0" borderId="0" xfId="0" applyFont="1" applyBorder="1" applyAlignment="1">
      <alignment/>
    </xf>
    <xf numFmtId="0" fontId="0" fillId="2" borderId="8" xfId="0" applyFont="1" applyFill="1" applyBorder="1" applyAlignment="1">
      <alignment/>
    </xf>
    <xf numFmtId="0" fontId="0" fillId="2" borderId="10" xfId="0" applyFont="1" applyFill="1" applyBorder="1" applyAlignment="1">
      <alignment/>
    </xf>
    <xf numFmtId="0" fontId="0" fillId="0" borderId="0" xfId="0" applyFont="1" applyBorder="1" applyAlignment="1">
      <alignment wrapText="1"/>
    </xf>
    <xf numFmtId="0" fontId="0" fillId="0" borderId="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10" fontId="0" fillId="0" borderId="3" xfId="0" applyNumberFormat="1" applyFont="1" applyBorder="1" applyAlignment="1">
      <alignment/>
    </xf>
    <xf numFmtId="10" fontId="0" fillId="2" borderId="3" xfId="0" applyNumberFormat="1" applyFont="1" applyFill="1" applyBorder="1" applyAlignment="1">
      <alignment/>
    </xf>
    <xf numFmtId="10" fontId="0" fillId="2" borderId="8" xfId="0" applyNumberFormat="1" applyFont="1" applyFill="1" applyBorder="1" applyAlignment="1">
      <alignment/>
    </xf>
    <xf numFmtId="165" fontId="0" fillId="0" borderId="14" xfId="0" applyNumberFormat="1" applyFont="1" applyBorder="1" applyAlignment="1">
      <alignment/>
    </xf>
    <xf numFmtId="165" fontId="0" fillId="0" borderId="10" xfId="0" applyNumberFormat="1" applyFont="1" applyBorder="1" applyAlignment="1">
      <alignment/>
    </xf>
    <xf numFmtId="0" fontId="0" fillId="0" borderId="8" xfId="0" applyFont="1" applyFill="1" applyBorder="1" applyAlignment="1">
      <alignment/>
    </xf>
    <xf numFmtId="0" fontId="0" fillId="0" borderId="10" xfId="0" applyFont="1" applyBorder="1" applyAlignment="1">
      <alignment/>
    </xf>
    <xf numFmtId="0" fontId="0" fillId="0" borderId="0" xfId="0" applyFont="1" applyBorder="1" applyAlignment="1">
      <alignment/>
    </xf>
    <xf numFmtId="0" fontId="10" fillId="0" borderId="0" xfId="0" applyFont="1" applyAlignment="1">
      <alignment wrapText="1"/>
    </xf>
    <xf numFmtId="0" fontId="0" fillId="0" borderId="12" xfId="0" applyFont="1" applyFill="1" applyBorder="1" applyAlignment="1">
      <alignment/>
    </xf>
    <xf numFmtId="9" fontId="0" fillId="0" borderId="14" xfId="0" applyNumberFormat="1" applyFont="1" applyBorder="1" applyAlignment="1">
      <alignment/>
    </xf>
    <xf numFmtId="10" fontId="0" fillId="0" borderId="0" xfId="0" applyNumberFormat="1" applyFont="1" applyBorder="1" applyAlignment="1">
      <alignment/>
    </xf>
    <xf numFmtId="9" fontId="0" fillId="0" borderId="10" xfId="0" applyNumberFormat="1" applyFont="1" applyBorder="1" applyAlignment="1">
      <alignment/>
    </xf>
    <xf numFmtId="10" fontId="0" fillId="2" borderId="36" xfId="0" applyNumberFormat="1" applyFont="1" applyFill="1" applyBorder="1" applyAlignment="1">
      <alignment/>
    </xf>
    <xf numFmtId="165" fontId="0" fillId="2" borderId="8" xfId="0" applyNumberFormat="1" applyFont="1" applyFill="1" applyBorder="1" applyAlignment="1">
      <alignment/>
    </xf>
    <xf numFmtId="9" fontId="0" fillId="2" borderId="3" xfId="0" applyNumberFormat="1" applyFont="1" applyFill="1" applyBorder="1" applyAlignment="1">
      <alignment/>
    </xf>
    <xf numFmtId="9" fontId="0" fillId="2" borderId="8" xfId="0" applyNumberFormat="1" applyFont="1" applyFill="1" applyBorder="1" applyAlignment="1">
      <alignment/>
    </xf>
    <xf numFmtId="1" fontId="0" fillId="2" borderId="12" xfId="0" applyNumberFormat="1" applyFont="1" applyFill="1" applyBorder="1" applyAlignment="1">
      <alignment/>
    </xf>
    <xf numFmtId="1" fontId="0" fillId="2" borderId="8" xfId="0" applyNumberFormat="1" applyFont="1" applyFill="1" applyBorder="1" applyAlignment="1">
      <alignment/>
    </xf>
    <xf numFmtId="165" fontId="7" fillId="0" borderId="25" xfId="0" applyNumberFormat="1" applyFont="1" applyBorder="1" applyAlignment="1">
      <alignment/>
    </xf>
    <xf numFmtId="3" fontId="7" fillId="0" borderId="0" xfId="0" applyNumberFormat="1" applyFont="1" applyAlignment="1">
      <alignment/>
    </xf>
    <xf numFmtId="165" fontId="7" fillId="0" borderId="12" xfId="0" applyNumberFormat="1" applyFont="1" applyBorder="1" applyAlignment="1">
      <alignment/>
    </xf>
    <xf numFmtId="164" fontId="7" fillId="0" borderId="10" xfId="0" applyNumberFormat="1" applyFont="1" applyBorder="1" applyAlignment="1">
      <alignment/>
    </xf>
    <xf numFmtId="165" fontId="7" fillId="0" borderId="20" xfId="0" applyNumberFormat="1" applyFont="1" applyBorder="1" applyAlignment="1">
      <alignment/>
    </xf>
    <xf numFmtId="165" fontId="7" fillId="0" borderId="37" xfId="0" applyNumberFormat="1" applyFont="1" applyBorder="1" applyAlignment="1">
      <alignment/>
    </xf>
    <xf numFmtId="165" fontId="7" fillId="0" borderId="21" xfId="0" applyNumberFormat="1" applyFont="1" applyFill="1" applyBorder="1" applyAlignment="1">
      <alignment/>
    </xf>
    <xf numFmtId="1" fontId="7" fillId="0" borderId="2" xfId="0" applyNumberFormat="1" applyFont="1" applyBorder="1" applyAlignment="1">
      <alignment/>
    </xf>
    <xf numFmtId="164" fontId="7" fillId="0" borderId="3" xfId="0" applyNumberFormat="1" applyFont="1" applyBorder="1" applyAlignment="1">
      <alignment/>
    </xf>
    <xf numFmtId="164" fontId="7" fillId="0" borderId="1" xfId="0" applyNumberFormat="1" applyFont="1" applyBorder="1" applyAlignment="1">
      <alignment/>
    </xf>
    <xf numFmtId="2" fontId="7" fillId="0" borderId="3" xfId="0" applyNumberFormat="1" applyFont="1" applyBorder="1" applyAlignment="1">
      <alignment/>
    </xf>
    <xf numFmtId="165" fontId="7" fillId="0" borderId="3" xfId="0" applyNumberFormat="1" applyFont="1" applyBorder="1" applyAlignment="1">
      <alignment/>
    </xf>
    <xf numFmtId="165" fontId="7" fillId="2" borderId="10" xfId="0" applyNumberFormat="1" applyFont="1" applyFill="1" applyBorder="1" applyAlignment="1">
      <alignment wrapText="1"/>
    </xf>
    <xf numFmtId="6" fontId="4" fillId="3" borderId="12" xfId="0" applyNumberFormat="1" applyFont="1" applyFill="1" applyBorder="1" applyAlignment="1">
      <alignment/>
    </xf>
    <xf numFmtId="165" fontId="7" fillId="0" borderId="8" xfId="0" applyNumberFormat="1" applyFont="1" applyBorder="1" applyAlignment="1">
      <alignment/>
    </xf>
    <xf numFmtId="165" fontId="7" fillId="4" borderId="3" xfId="0" applyNumberFormat="1" applyFont="1" applyFill="1" applyBorder="1" applyAlignment="1">
      <alignment/>
    </xf>
    <xf numFmtId="165" fontId="7" fillId="4" borderId="8" xfId="0" applyNumberFormat="1" applyFont="1" applyFill="1" applyBorder="1" applyAlignment="1">
      <alignment/>
    </xf>
    <xf numFmtId="165" fontId="4" fillId="4" borderId="29" xfId="0" applyNumberFormat="1" applyFont="1" applyFill="1" applyBorder="1" applyAlignment="1">
      <alignment/>
    </xf>
    <xf numFmtId="165" fontId="4" fillId="4" borderId="38" xfId="0" applyNumberFormat="1" applyFont="1" applyFill="1" applyBorder="1" applyAlignment="1">
      <alignment/>
    </xf>
    <xf numFmtId="165" fontId="4" fillId="4" borderId="39" xfId="0" applyNumberFormat="1" applyFont="1" applyFill="1" applyBorder="1" applyAlignment="1">
      <alignment/>
    </xf>
    <xf numFmtId="9" fontId="7" fillId="0" borderId="10" xfId="0" applyNumberFormat="1" applyFont="1" applyBorder="1" applyAlignment="1">
      <alignment/>
    </xf>
    <xf numFmtId="10" fontId="7" fillId="0" borderId="0" xfId="0" applyNumberFormat="1" applyFont="1" applyBorder="1" applyAlignment="1">
      <alignment/>
    </xf>
    <xf numFmtId="0" fontId="7" fillId="0" borderId="0" xfId="0" applyFont="1" applyFill="1" applyBorder="1" applyAlignment="1">
      <alignment wrapText="1"/>
    </xf>
    <xf numFmtId="9" fontId="7" fillId="2" borderId="21" xfId="0" applyNumberFormat="1" applyFont="1" applyFill="1" applyBorder="1" applyAlignment="1">
      <alignment/>
    </xf>
    <xf numFmtId="10" fontId="0" fillId="0" borderId="12" xfId="0" applyNumberFormat="1" applyFont="1" applyFill="1" applyBorder="1" applyAlignment="1">
      <alignment/>
    </xf>
    <xf numFmtId="165" fontId="0" fillId="0" borderId="36" xfId="0" applyNumberFormat="1" applyFont="1" applyFill="1" applyBorder="1" applyAlignment="1">
      <alignment/>
    </xf>
    <xf numFmtId="165" fontId="0" fillId="0" borderId="8" xfId="0" applyNumberFormat="1" applyFont="1" applyFill="1" applyBorder="1" applyAlignment="1">
      <alignment/>
    </xf>
    <xf numFmtId="0" fontId="0" fillId="0" borderId="10" xfId="0" applyFont="1" applyFill="1" applyBorder="1" applyAlignment="1">
      <alignment/>
    </xf>
    <xf numFmtId="10" fontId="0" fillId="0" borderId="3" xfId="0" applyNumberFormat="1" applyFont="1" applyFill="1" applyBorder="1" applyAlignment="1">
      <alignment/>
    </xf>
    <xf numFmtId="10" fontId="0" fillId="0" borderId="8" xfId="0" applyNumberFormat="1" applyFont="1" applyFill="1" applyBorder="1" applyAlignment="1">
      <alignment/>
    </xf>
    <xf numFmtId="10" fontId="0" fillId="0" borderId="36" xfId="0" applyNumberFormat="1" applyFont="1" applyFill="1" applyBorder="1" applyAlignment="1">
      <alignment/>
    </xf>
    <xf numFmtId="0" fontId="7" fillId="0" borderId="24" xfId="0" applyFont="1" applyFill="1" applyBorder="1" applyAlignment="1">
      <alignment/>
    </xf>
    <xf numFmtId="0" fontId="7" fillId="0" borderId="27" xfId="0" applyFont="1" applyFill="1" applyBorder="1" applyAlignment="1">
      <alignment/>
    </xf>
    <xf numFmtId="0" fontId="7" fillId="0" borderId="25" xfId="0" applyFont="1" applyFill="1" applyBorder="1" applyAlignment="1">
      <alignment/>
    </xf>
    <xf numFmtId="0" fontId="6" fillId="0" borderId="0" xfId="0" applyFont="1" applyBorder="1" applyAlignment="1">
      <alignment wrapText="1"/>
    </xf>
    <xf numFmtId="0" fontId="0" fillId="0" borderId="0" xfId="0" applyAlignment="1">
      <alignment/>
    </xf>
    <xf numFmtId="0" fontId="4" fillId="0" borderId="0" xfId="0" applyFont="1" applyAlignment="1">
      <alignment/>
    </xf>
    <xf numFmtId="0" fontId="17" fillId="0" borderId="0" xfId="0" applyFont="1" applyAlignment="1">
      <alignment/>
    </xf>
    <xf numFmtId="0" fontId="4" fillId="0" borderId="5" xfId="0" applyFont="1" applyBorder="1" applyAlignment="1">
      <alignment/>
    </xf>
    <xf numFmtId="0" fontId="7" fillId="0" borderId="6" xfId="0" applyFont="1" applyBorder="1" applyAlignment="1">
      <alignment/>
    </xf>
    <xf numFmtId="0" fontId="7" fillId="0" borderId="0" xfId="0" applyFont="1" applyBorder="1" applyAlignment="1">
      <alignment/>
    </xf>
    <xf numFmtId="6" fontId="7" fillId="3" borderId="8" xfId="0" applyNumberFormat="1" applyFont="1" applyFill="1" applyBorder="1" applyAlignment="1">
      <alignment/>
    </xf>
    <xf numFmtId="9" fontId="7" fillId="3" borderId="36" xfId="0" applyNumberFormat="1" applyFont="1" applyFill="1" applyBorder="1" applyAlignment="1">
      <alignment/>
    </xf>
    <xf numFmtId="9" fontId="7" fillId="3" borderId="8" xfId="0" applyNumberFormat="1" applyFont="1" applyFill="1" applyBorder="1" applyAlignment="1">
      <alignment/>
    </xf>
    <xf numFmtId="9" fontId="7" fillId="3" borderId="10" xfId="0" applyNumberFormat="1" applyFont="1" applyFill="1" applyBorder="1" applyAlignment="1">
      <alignment/>
    </xf>
    <xf numFmtId="0" fontId="7" fillId="0" borderId="0" xfId="0" applyFont="1" applyAlignment="1">
      <alignment/>
    </xf>
    <xf numFmtId="3" fontId="0" fillId="2" borderId="12" xfId="0" applyNumberFormat="1" applyFont="1" applyFill="1" applyBorder="1" applyAlignment="1">
      <alignment/>
    </xf>
    <xf numFmtId="3" fontId="0" fillId="2" borderId="8" xfId="0" applyNumberFormat="1" applyFont="1" applyFill="1" applyBorder="1" applyAlignment="1">
      <alignment wrapText="1"/>
    </xf>
    <xf numFmtId="3" fontId="0" fillId="2" borderId="8" xfId="0" applyNumberFormat="1" applyFont="1" applyFill="1" applyBorder="1" applyAlignment="1">
      <alignment/>
    </xf>
    <xf numFmtId="3" fontId="0" fillId="0" borderId="8" xfId="0" applyNumberFormat="1" applyFont="1" applyFill="1" applyBorder="1" applyAlignment="1">
      <alignment/>
    </xf>
    <xf numFmtId="9" fontId="0" fillId="0" borderId="3" xfId="0" applyNumberFormat="1" applyFont="1" applyBorder="1" applyAlignment="1">
      <alignment/>
    </xf>
    <xf numFmtId="3" fontId="0" fillId="0" borderId="14" xfId="0" applyNumberFormat="1" applyFont="1" applyBorder="1" applyAlignment="1">
      <alignment/>
    </xf>
    <xf numFmtId="3" fontId="0" fillId="0" borderId="10" xfId="0" applyNumberFormat="1" applyFont="1" applyBorder="1" applyAlignment="1">
      <alignment/>
    </xf>
    <xf numFmtId="165" fontId="7" fillId="0" borderId="39" xfId="0" applyNumberFormat="1" applyFont="1" applyBorder="1" applyAlignment="1">
      <alignment/>
    </xf>
    <xf numFmtId="9" fontId="7" fillId="2" borderId="12" xfId="0" applyNumberFormat="1" applyFont="1" applyFill="1" applyBorder="1" applyAlignment="1">
      <alignment/>
    </xf>
    <xf numFmtId="10" fontId="7" fillId="0" borderId="21" xfId="0" applyNumberFormat="1" applyFont="1" applyFill="1" applyBorder="1" applyAlignment="1">
      <alignment/>
    </xf>
    <xf numFmtId="3" fontId="7" fillId="0" borderId="2" xfId="0" applyNumberFormat="1" applyFont="1" applyBorder="1" applyAlignment="1">
      <alignment/>
    </xf>
    <xf numFmtId="164" fontId="7" fillId="0" borderId="8" xfId="0" applyNumberFormat="1" applyFont="1" applyBorder="1" applyAlignment="1">
      <alignment/>
    </xf>
    <xf numFmtId="164" fontId="7" fillId="0" borderId="36" xfId="0" applyNumberFormat="1" applyFont="1" applyBorder="1" applyAlignment="1">
      <alignment/>
    </xf>
    <xf numFmtId="3" fontId="7" fillId="0" borderId="40" xfId="0" applyNumberFormat="1" applyFont="1" applyBorder="1" applyAlignment="1">
      <alignment/>
    </xf>
    <xf numFmtId="0" fontId="7" fillId="0" borderId="38" xfId="0" applyFont="1" applyBorder="1" applyAlignment="1">
      <alignment/>
    </xf>
    <xf numFmtId="0" fontId="7" fillId="0" borderId="39" xfId="0" applyFont="1" applyBorder="1" applyAlignment="1">
      <alignment/>
    </xf>
    <xf numFmtId="0" fontId="7" fillId="0" borderId="2" xfId="0" applyFont="1" applyBorder="1" applyAlignment="1">
      <alignment/>
    </xf>
    <xf numFmtId="10" fontId="7" fillId="0" borderId="3" xfId="0" applyNumberFormat="1" applyFont="1" applyBorder="1" applyAlignment="1">
      <alignment/>
    </xf>
    <xf numFmtId="2" fontId="7" fillId="0" borderId="2" xfId="0" applyNumberFormat="1" applyFont="1" applyBorder="1" applyAlignment="1">
      <alignment/>
    </xf>
    <xf numFmtId="0" fontId="9" fillId="0" borderId="0" xfId="0" applyFont="1" applyAlignment="1">
      <alignment/>
    </xf>
    <xf numFmtId="0" fontId="7" fillId="3" borderId="9" xfId="0" applyFont="1" applyFill="1" applyBorder="1" applyAlignment="1">
      <alignment wrapText="1"/>
    </xf>
    <xf numFmtId="165" fontId="7" fillId="3" borderId="14" xfId="0" applyNumberFormat="1" applyFont="1" applyFill="1" applyBorder="1" applyAlignment="1">
      <alignment/>
    </xf>
    <xf numFmtId="165" fontId="7" fillId="3" borderId="38" xfId="0" applyNumberFormat="1" applyFont="1" applyFill="1" applyBorder="1" applyAlignment="1">
      <alignment/>
    </xf>
    <xf numFmtId="165" fontId="7" fillId="3" borderId="39" xfId="0" applyNumberFormat="1" applyFont="1" applyFill="1" applyBorder="1" applyAlignment="1">
      <alignment/>
    </xf>
    <xf numFmtId="0" fontId="7" fillId="3" borderId="29" xfId="0" applyFont="1" applyFill="1" applyBorder="1" applyAlignment="1">
      <alignment wrapText="1"/>
    </xf>
    <xf numFmtId="3" fontId="7" fillId="2" borderId="12" xfId="0" applyNumberFormat="1" applyFont="1" applyFill="1" applyBorder="1" applyAlignment="1">
      <alignment/>
    </xf>
    <xf numFmtId="3" fontId="7" fillId="2" borderId="8" xfId="0" applyNumberFormat="1" applyFont="1" applyFill="1" applyBorder="1" applyAlignment="1">
      <alignment/>
    </xf>
    <xf numFmtId="3" fontId="7" fillId="0" borderId="10" xfId="0" applyNumberFormat="1" applyFont="1" applyBorder="1" applyAlignment="1">
      <alignment/>
    </xf>
    <xf numFmtId="9" fontId="7" fillId="0" borderId="2" xfId="0" applyNumberFormat="1" applyFont="1" applyBorder="1" applyAlignment="1">
      <alignment/>
    </xf>
    <xf numFmtId="9" fontId="7" fillId="2" borderId="2" xfId="0" applyNumberFormat="1" applyFont="1" applyFill="1" applyBorder="1" applyAlignment="1">
      <alignment/>
    </xf>
    <xf numFmtId="9" fontId="7" fillId="2" borderId="40" xfId="0" applyNumberFormat="1" applyFont="1" applyFill="1" applyBorder="1" applyAlignment="1">
      <alignment/>
    </xf>
    <xf numFmtId="0" fontId="7" fillId="0" borderId="39" xfId="0" applyFont="1" applyFill="1" applyBorder="1" applyAlignment="1">
      <alignment/>
    </xf>
    <xf numFmtId="9" fontId="7" fillId="2" borderId="1" xfId="0" applyNumberFormat="1" applyFont="1" applyFill="1" applyBorder="1" applyAlignment="1">
      <alignment/>
    </xf>
    <xf numFmtId="9" fontId="7" fillId="2" borderId="36" xfId="0" applyNumberFormat="1" applyFont="1" applyFill="1" applyBorder="1" applyAlignment="1">
      <alignment/>
    </xf>
    <xf numFmtId="9" fontId="7" fillId="0" borderId="38" xfId="0" applyNumberFormat="1" applyFont="1" applyBorder="1" applyAlignment="1">
      <alignment/>
    </xf>
    <xf numFmtId="9" fontId="7" fillId="0" borderId="39" xfId="0" applyNumberFormat="1" applyFont="1" applyBorder="1" applyAlignment="1">
      <alignment/>
    </xf>
    <xf numFmtId="0" fontId="7" fillId="3" borderId="9" xfId="0" applyFont="1" applyFill="1" applyBorder="1" applyAlignment="1">
      <alignment/>
    </xf>
    <xf numFmtId="165" fontId="7" fillId="0" borderId="1" xfId="0" applyNumberFormat="1" applyFont="1" applyBorder="1" applyAlignment="1">
      <alignment/>
    </xf>
    <xf numFmtId="0" fontId="7" fillId="0" borderId="41" xfId="0" applyFont="1" applyBorder="1" applyAlignment="1">
      <alignment/>
    </xf>
    <xf numFmtId="0" fontId="4" fillId="0" borderId="3" xfId="0" applyFont="1" applyBorder="1" applyAlignment="1">
      <alignment/>
    </xf>
    <xf numFmtId="0" fontId="4" fillId="0" borderId="8" xfId="0" applyFont="1" applyBorder="1" applyAlignment="1">
      <alignment/>
    </xf>
    <xf numFmtId="0" fontId="4" fillId="0" borderId="1" xfId="0" applyFont="1" applyBorder="1" applyAlignment="1">
      <alignment/>
    </xf>
    <xf numFmtId="0" fontId="4" fillId="0" borderId="36" xfId="0" applyFont="1" applyBorder="1" applyAlignment="1">
      <alignment/>
    </xf>
    <xf numFmtId="3" fontId="0" fillId="0" borderId="12" xfId="0" applyNumberFormat="1" applyFont="1" applyFill="1" applyBorder="1" applyAlignment="1">
      <alignment/>
    </xf>
    <xf numFmtId="3" fontId="0" fillId="0" borderId="8" xfId="0" applyNumberFormat="1" applyFont="1" applyFill="1" applyBorder="1" applyAlignment="1">
      <alignment wrapText="1"/>
    </xf>
    <xf numFmtId="3" fontId="7" fillId="0" borderId="12" xfId="0" applyNumberFormat="1" applyFont="1" applyFill="1" applyBorder="1" applyAlignment="1">
      <alignment/>
    </xf>
    <xf numFmtId="3" fontId="7" fillId="0" borderId="8" xfId="0" applyNumberFormat="1" applyFont="1" applyFill="1" applyBorder="1" applyAlignment="1">
      <alignment/>
    </xf>
    <xf numFmtId="0" fontId="7" fillId="0" borderId="42" xfId="0" applyFont="1" applyBorder="1" applyAlignment="1">
      <alignment wrapText="1"/>
    </xf>
    <xf numFmtId="165" fontId="7" fillId="0" borderId="24" xfId="0" applyNumberFormat="1" applyFont="1" applyFill="1" applyBorder="1" applyAlignment="1">
      <alignment/>
    </xf>
    <xf numFmtId="164" fontId="7" fillId="0" borderId="28" xfId="0" applyNumberFormat="1" applyFont="1" applyFill="1" applyBorder="1" applyAlignment="1">
      <alignment/>
    </xf>
    <xf numFmtId="9" fontId="7" fillId="2" borderId="39" xfId="0" applyNumberFormat="1" applyFont="1" applyFill="1" applyBorder="1" applyAlignment="1">
      <alignment/>
    </xf>
    <xf numFmtId="165" fontId="7" fillId="0" borderId="25" xfId="0" applyNumberFormat="1" applyFont="1" applyFill="1" applyBorder="1" applyAlignment="1">
      <alignment/>
    </xf>
    <xf numFmtId="165" fontId="7" fillId="0" borderId="39" xfId="0" applyNumberFormat="1" applyFont="1" applyFill="1" applyBorder="1" applyAlignment="1">
      <alignment/>
    </xf>
    <xf numFmtId="165" fontId="7" fillId="2" borderId="39" xfId="0" applyNumberFormat="1" applyFont="1" applyFill="1" applyBorder="1" applyAlignment="1">
      <alignment/>
    </xf>
    <xf numFmtId="1" fontId="7" fillId="2" borderId="39" xfId="0" applyNumberFormat="1" applyFont="1" applyFill="1" applyBorder="1" applyAlignment="1">
      <alignment/>
    </xf>
    <xf numFmtId="2" fontId="7" fillId="0" borderId="8" xfId="0" applyNumberFormat="1" applyFont="1" applyBorder="1" applyAlignment="1">
      <alignment/>
    </xf>
    <xf numFmtId="165" fontId="7" fillId="3" borderId="10" xfId="0" applyNumberFormat="1" applyFont="1" applyFill="1" applyBorder="1" applyAlignment="1">
      <alignment/>
    </xf>
    <xf numFmtId="0" fontId="0" fillId="0" borderId="35" xfId="0" applyBorder="1" applyAlignment="1">
      <alignment/>
    </xf>
    <xf numFmtId="0" fontId="7" fillId="0" borderId="21" xfId="0" applyFont="1" applyBorder="1" applyAlignment="1">
      <alignment/>
    </xf>
    <xf numFmtId="10" fontId="7" fillId="0" borderId="2" xfId="0" applyNumberFormat="1" applyFont="1" applyBorder="1" applyAlignment="1">
      <alignment/>
    </xf>
    <xf numFmtId="3" fontId="7" fillId="0" borderId="25" xfId="0" applyNumberFormat="1" applyFont="1" applyFill="1" applyBorder="1" applyAlignment="1">
      <alignment/>
    </xf>
    <xf numFmtId="0" fontId="0" fillId="0" borderId="18" xfId="0" applyFont="1" applyBorder="1" applyAlignment="1">
      <alignment wrapText="1"/>
    </xf>
    <xf numFmtId="10" fontId="0" fillId="0" borderId="2" xfId="0" applyNumberFormat="1" applyFont="1" applyBorder="1" applyAlignment="1">
      <alignment/>
    </xf>
    <xf numFmtId="10" fontId="0" fillId="0" borderId="2" xfId="0" applyNumberFormat="1" applyFont="1" applyFill="1" applyBorder="1" applyAlignment="1">
      <alignment/>
    </xf>
    <xf numFmtId="10" fontId="0" fillId="0" borderId="40" xfId="0" applyNumberFormat="1" applyFont="1" applyFill="1" applyBorder="1" applyAlignment="1">
      <alignment/>
    </xf>
    <xf numFmtId="0" fontId="0" fillId="0" borderId="29" xfId="0" applyFont="1" applyBorder="1" applyAlignment="1">
      <alignment wrapText="1"/>
    </xf>
    <xf numFmtId="0" fontId="0" fillId="0" borderId="38" xfId="0" applyFont="1" applyBorder="1" applyAlignment="1">
      <alignment/>
    </xf>
    <xf numFmtId="0" fontId="0" fillId="0" borderId="39" xfId="0" applyFont="1" applyBorder="1" applyAlignment="1">
      <alignment/>
    </xf>
    <xf numFmtId="165" fontId="7" fillId="0" borderId="2" xfId="0" applyNumberFormat="1" applyFont="1" applyBorder="1" applyAlignment="1">
      <alignment/>
    </xf>
    <xf numFmtId="0" fontId="7" fillId="0" borderId="43" xfId="0" applyFont="1" applyBorder="1" applyAlignment="1">
      <alignment/>
    </xf>
    <xf numFmtId="0" fontId="0" fillId="0" borderId="23" xfId="0" applyFont="1" applyBorder="1" applyAlignment="1">
      <alignmen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16" fillId="0" borderId="0" xfId="0" applyFont="1" applyAlignment="1">
      <alignment/>
    </xf>
    <xf numFmtId="0" fontId="0" fillId="0" borderId="7" xfId="0" applyFont="1" applyBorder="1" applyAlignment="1">
      <alignment wrapText="1"/>
    </xf>
    <xf numFmtId="0" fontId="0" fillId="0" borderId="3" xfId="0" applyFont="1" applyBorder="1" applyAlignment="1">
      <alignment/>
    </xf>
    <xf numFmtId="0" fontId="7" fillId="0" borderId="5" xfId="0" applyFont="1" applyBorder="1" applyAlignment="1">
      <alignment wrapText="1"/>
    </xf>
    <xf numFmtId="0" fontId="7" fillId="0" borderId="11" xfId="0" applyFont="1" applyBorder="1" applyAlignment="1">
      <alignment/>
    </xf>
    <xf numFmtId="0" fontId="7" fillId="0" borderId="9" xfId="0" applyFont="1" applyBorder="1" applyAlignment="1">
      <alignment wrapText="1"/>
    </xf>
    <xf numFmtId="0" fontId="7" fillId="0" borderId="14" xfId="0" applyFont="1" applyBorder="1" applyAlignment="1">
      <alignment/>
    </xf>
    <xf numFmtId="10" fontId="13" fillId="0" borderId="15" xfId="0" applyNumberFormat="1" applyFont="1" applyBorder="1" applyAlignment="1">
      <alignment horizontal="center" wrapText="1"/>
    </xf>
    <xf numFmtId="0" fontId="13" fillId="0" borderId="16" xfId="0" applyFont="1" applyBorder="1" applyAlignment="1">
      <alignment horizontal="center" wrapText="1"/>
    </xf>
    <xf numFmtId="0" fontId="13" fillId="0" borderId="30" xfId="0" applyFont="1" applyBorder="1" applyAlignment="1">
      <alignment horizontal="center" wrapText="1"/>
    </xf>
    <xf numFmtId="0" fontId="13" fillId="0" borderId="26" xfId="0" applyFont="1" applyBorder="1" applyAlignment="1">
      <alignment horizontal="center" wrapText="1"/>
    </xf>
    <xf numFmtId="0" fontId="13" fillId="0" borderId="0" xfId="0" applyFont="1" applyBorder="1" applyAlignment="1">
      <alignment horizontal="center" wrapText="1"/>
    </xf>
    <xf numFmtId="0" fontId="13" fillId="0" borderId="31" xfId="0" applyFont="1" applyBorder="1" applyAlignment="1">
      <alignment horizontal="center" wrapText="1"/>
    </xf>
    <xf numFmtId="0" fontId="13" fillId="0" borderId="32" xfId="0" applyFont="1" applyBorder="1" applyAlignment="1">
      <alignment horizontal="center" wrapText="1"/>
    </xf>
    <xf numFmtId="0" fontId="13" fillId="0" borderId="33" xfId="0" applyFont="1" applyBorder="1" applyAlignment="1">
      <alignment horizontal="center" wrapText="1"/>
    </xf>
    <xf numFmtId="0" fontId="13" fillId="0" borderId="34" xfId="0" applyFont="1" applyBorder="1" applyAlignment="1">
      <alignment horizontal="center" wrapText="1"/>
    </xf>
    <xf numFmtId="0" fontId="0" fillId="0" borderId="23" xfId="0" applyFont="1" applyBorder="1" applyAlignment="1">
      <alignment wrapText="1"/>
    </xf>
    <xf numFmtId="0" fontId="0" fillId="0" borderId="44" xfId="0" applyBorder="1" applyAlignment="1">
      <alignment/>
    </xf>
    <xf numFmtId="0" fontId="0" fillId="0" borderId="45" xfId="0" applyBorder="1" applyAlignment="1">
      <alignment/>
    </xf>
    <xf numFmtId="0" fontId="0" fillId="0" borderId="13" xfId="0" applyFont="1" applyBorder="1" applyAlignment="1">
      <alignment wrapText="1"/>
    </xf>
    <xf numFmtId="0" fontId="0" fillId="0" borderId="46" xfId="0" applyBorder="1" applyAlignment="1">
      <alignment wrapText="1"/>
    </xf>
    <xf numFmtId="0" fontId="0" fillId="0" borderId="35" xfId="0" applyBorder="1" applyAlignment="1">
      <alignment wrapText="1"/>
    </xf>
    <xf numFmtId="0" fontId="0" fillId="0" borderId="46" xfId="0" applyBorder="1" applyAlignment="1">
      <alignment/>
    </xf>
    <xf numFmtId="0" fontId="0" fillId="0" borderId="35" xfId="0" applyBorder="1" applyAlignment="1">
      <alignment/>
    </xf>
    <xf numFmtId="0" fontId="0" fillId="0" borderId="42" xfId="0" applyFont="1" applyBorder="1" applyAlignment="1">
      <alignment wrapText="1"/>
    </xf>
    <xf numFmtId="0" fontId="0" fillId="0" borderId="47" xfId="0" applyBorder="1" applyAlignment="1">
      <alignment/>
    </xf>
    <xf numFmtId="0" fontId="0" fillId="0" borderId="48" xfId="0" applyBorder="1" applyAlignment="1">
      <alignment/>
    </xf>
    <xf numFmtId="0" fontId="16" fillId="0" borderId="0" xfId="0" applyFont="1" applyAlignment="1">
      <alignment wrapText="1"/>
    </xf>
    <xf numFmtId="0" fontId="0" fillId="0" borderId="35" xfId="0" applyFont="1" applyBorder="1" applyAlignment="1">
      <alignment/>
    </xf>
    <xf numFmtId="0" fontId="0" fillId="0" borderId="47" xfId="0" applyFont="1" applyBorder="1" applyAlignment="1">
      <alignment/>
    </xf>
    <xf numFmtId="0" fontId="0" fillId="0" borderId="48" xfId="0" applyFont="1" applyBorder="1" applyAlignment="1">
      <alignment/>
    </xf>
    <xf numFmtId="0" fontId="10" fillId="0" borderId="0" xfId="0" applyFont="1" applyAlignment="1">
      <alignment wrapText="1"/>
    </xf>
    <xf numFmtId="0" fontId="0" fillId="0" borderId="0" xfId="0" applyFont="1" applyAlignment="1">
      <alignment wrapText="1"/>
    </xf>
    <xf numFmtId="0" fontId="0" fillId="0" borderId="3" xfId="0" applyFont="1" applyBorder="1" applyAlignment="1">
      <alignment wrapText="1"/>
    </xf>
    <xf numFmtId="0" fontId="0" fillId="0" borderId="49" xfId="0" applyFont="1"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15" xfId="0" applyFont="1" applyBorder="1" applyAlignment="1">
      <alignment wrapText="1"/>
    </xf>
    <xf numFmtId="0" fontId="0" fillId="0" borderId="16" xfId="0" applyBorder="1" applyAlignment="1">
      <alignment wrapText="1"/>
    </xf>
    <xf numFmtId="0" fontId="0" fillId="0" borderId="52"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53" xfId="0" applyBorder="1" applyAlignment="1">
      <alignment wrapText="1"/>
    </xf>
    <xf numFmtId="0" fontId="6" fillId="0" borderId="0" xfId="0" applyFont="1" applyBorder="1" applyAlignment="1">
      <alignment wrapText="1"/>
    </xf>
    <xf numFmtId="0" fontId="7" fillId="0" borderId="0" xfId="0" applyFont="1" applyAlignment="1">
      <alignment wrapText="1"/>
    </xf>
    <xf numFmtId="0" fontId="0" fillId="0" borderId="0" xfId="0" applyAlignment="1">
      <alignment/>
    </xf>
    <xf numFmtId="165" fontId="7" fillId="0" borderId="17" xfId="0" applyNumberFormat="1" applyFont="1" applyBorder="1" applyAlignment="1">
      <alignment/>
    </xf>
    <xf numFmtId="165" fontId="0" fillId="0" borderId="37" xfId="0" applyNumberFormat="1" applyBorder="1" applyAlignment="1">
      <alignment/>
    </xf>
    <xf numFmtId="0" fontId="7" fillId="0" borderId="49" xfId="0" applyFont="1" applyBorder="1" applyAlignment="1">
      <alignment wrapText="1"/>
    </xf>
    <xf numFmtId="0" fontId="7" fillId="0" borderId="50" xfId="0" applyFont="1" applyBorder="1" applyAlignment="1">
      <alignment wrapText="1"/>
    </xf>
    <xf numFmtId="0" fontId="7" fillId="0" borderId="51" xfId="0" applyFont="1" applyBorder="1" applyAlignment="1">
      <alignment wrapText="1"/>
    </xf>
    <xf numFmtId="0" fontId="7" fillId="0" borderId="26" xfId="0" applyFont="1" applyBorder="1" applyAlignment="1">
      <alignment wrapText="1"/>
    </xf>
    <xf numFmtId="0" fontId="7" fillId="0" borderId="7" xfId="0" applyFont="1" applyBorder="1" applyAlignment="1">
      <alignment wrapText="1"/>
    </xf>
    <xf numFmtId="0" fontId="7" fillId="0" borderId="3" xfId="0" applyFont="1" applyBorder="1" applyAlignment="1">
      <alignment/>
    </xf>
    <xf numFmtId="0" fontId="9" fillId="0" borderId="0" xfId="0" applyFont="1" applyAlignment="1">
      <alignment wrapText="1"/>
    </xf>
    <xf numFmtId="0" fontId="7" fillId="0" borderId="14" xfId="0" applyFont="1" applyBorder="1" applyAlignment="1">
      <alignment wrapText="1"/>
    </xf>
    <xf numFmtId="0" fontId="7" fillId="0" borderId="11" xfId="0" applyFont="1" applyBorder="1" applyAlignment="1">
      <alignment wrapText="1"/>
    </xf>
    <xf numFmtId="0" fontId="0" fillId="0" borderId="14" xfId="0" applyBorder="1" applyAlignment="1">
      <alignment wrapText="1"/>
    </xf>
    <xf numFmtId="0" fontId="7" fillId="0" borderId="3" xfId="0" applyFont="1" applyBorder="1" applyAlignment="1">
      <alignment wrapText="1"/>
    </xf>
    <xf numFmtId="0" fontId="7" fillId="0" borderId="21" xfId="0" applyFont="1" applyBorder="1" applyAlignment="1">
      <alignment wrapText="1"/>
    </xf>
    <xf numFmtId="0" fontId="7" fillId="0" borderId="46" xfId="0" applyFont="1" applyBorder="1" applyAlignment="1">
      <alignment wrapText="1"/>
    </xf>
    <xf numFmtId="0" fontId="7" fillId="0" borderId="35" xfId="0" applyFont="1" applyBorder="1" applyAlignment="1">
      <alignment wrapText="1"/>
    </xf>
    <xf numFmtId="0" fontId="6" fillId="0" borderId="0" xfId="0" applyFont="1" applyAlignment="1">
      <alignment wrapText="1"/>
    </xf>
    <xf numFmtId="0" fontId="4" fillId="0" borderId="21" xfId="0" applyFont="1" applyBorder="1" applyAlignment="1">
      <alignment/>
    </xf>
    <xf numFmtId="0" fontId="4" fillId="0" borderId="46" xfId="0" applyFont="1" applyBorder="1" applyAlignment="1">
      <alignment/>
    </xf>
    <xf numFmtId="0" fontId="7" fillId="0" borderId="21" xfId="0" applyFont="1" applyBorder="1" applyAlignment="1">
      <alignment/>
    </xf>
    <xf numFmtId="0" fontId="8" fillId="0" borderId="21" xfId="0" applyFont="1" applyBorder="1" applyAlignment="1">
      <alignment/>
    </xf>
    <xf numFmtId="0" fontId="7" fillId="0" borderId="35" xfId="0" applyFont="1" applyBorder="1" applyAlignment="1">
      <alignment/>
    </xf>
    <xf numFmtId="0" fontId="4" fillId="0" borderId="35" xfId="0" applyFont="1" applyBorder="1" applyAlignment="1">
      <alignment/>
    </xf>
    <xf numFmtId="0" fontId="3" fillId="0" borderId="21" xfId="0" applyFont="1" applyBorder="1" applyAlignment="1">
      <alignment horizontal="center"/>
    </xf>
    <xf numFmtId="0" fontId="0" fillId="0" borderId="46" xfId="0" applyBorder="1" applyAlignment="1">
      <alignment/>
    </xf>
    <xf numFmtId="0" fontId="0" fillId="0" borderId="35"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93</xdr:row>
      <xdr:rowOff>38100</xdr:rowOff>
    </xdr:from>
    <xdr:to>
      <xdr:col>4</xdr:col>
      <xdr:colOff>47625</xdr:colOff>
      <xdr:row>96</xdr:row>
      <xdr:rowOff>133350</xdr:rowOff>
    </xdr:to>
    <xdr:sp>
      <xdr:nvSpPr>
        <xdr:cNvPr id="1" name="AutoShape 1"/>
        <xdr:cNvSpPr>
          <a:spLocks/>
        </xdr:cNvSpPr>
      </xdr:nvSpPr>
      <xdr:spPr>
        <a:xfrm>
          <a:off x="723900" y="10429875"/>
          <a:ext cx="2647950" cy="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QUOTE ACCEPTABLE</a:t>
          </a:r>
        </a:p>
      </xdr:txBody>
    </xdr:sp>
    <xdr:clientData/>
  </xdr:twoCellAnchor>
  <xdr:twoCellAnchor>
    <xdr:from>
      <xdr:col>5</xdr:col>
      <xdr:colOff>723900</xdr:colOff>
      <xdr:row>28</xdr:row>
      <xdr:rowOff>123825</xdr:rowOff>
    </xdr:from>
    <xdr:to>
      <xdr:col>5</xdr:col>
      <xdr:colOff>723900</xdr:colOff>
      <xdr:row>31</xdr:row>
      <xdr:rowOff>9525</xdr:rowOff>
    </xdr:to>
    <xdr:sp>
      <xdr:nvSpPr>
        <xdr:cNvPr id="2" name="Line 2"/>
        <xdr:cNvSpPr>
          <a:spLocks/>
        </xdr:cNvSpPr>
      </xdr:nvSpPr>
      <xdr:spPr>
        <a:xfrm>
          <a:off x="4981575" y="4276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39</xdr:row>
      <xdr:rowOff>0</xdr:rowOff>
    </xdr:from>
    <xdr:to>
      <xdr:col>3</xdr:col>
      <xdr:colOff>695325</xdr:colOff>
      <xdr:row>42</xdr:row>
      <xdr:rowOff>123825</xdr:rowOff>
    </xdr:to>
    <xdr:sp>
      <xdr:nvSpPr>
        <xdr:cNvPr id="3" name="Line 3"/>
        <xdr:cNvSpPr>
          <a:spLocks/>
        </xdr:cNvSpPr>
      </xdr:nvSpPr>
      <xdr:spPr>
        <a:xfrm flipH="1">
          <a:off x="2638425" y="5724525"/>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74</xdr:row>
      <xdr:rowOff>133350</xdr:rowOff>
    </xdr:from>
    <xdr:to>
      <xdr:col>4</xdr:col>
      <xdr:colOff>457200</xdr:colOff>
      <xdr:row>116</xdr:row>
      <xdr:rowOff>104775</xdr:rowOff>
    </xdr:to>
    <xdr:sp>
      <xdr:nvSpPr>
        <xdr:cNvPr id="4" name="Line 4"/>
        <xdr:cNvSpPr>
          <a:spLocks/>
        </xdr:cNvSpPr>
      </xdr:nvSpPr>
      <xdr:spPr>
        <a:xfrm>
          <a:off x="3781425" y="104298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99</xdr:row>
      <xdr:rowOff>76200</xdr:rowOff>
    </xdr:from>
    <xdr:to>
      <xdr:col>6</xdr:col>
      <xdr:colOff>619125</xdr:colOff>
      <xdr:row>99</xdr:row>
      <xdr:rowOff>76200</xdr:rowOff>
    </xdr:to>
    <xdr:sp>
      <xdr:nvSpPr>
        <xdr:cNvPr id="5" name="Line 5"/>
        <xdr:cNvSpPr>
          <a:spLocks/>
        </xdr:cNvSpPr>
      </xdr:nvSpPr>
      <xdr:spPr>
        <a:xfrm>
          <a:off x="5762625" y="104298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619125</xdr:colOff>
      <xdr:row>81</xdr:row>
      <xdr:rowOff>133350</xdr:rowOff>
    </xdr:from>
    <xdr:to>
      <xdr:col>6</xdr:col>
      <xdr:colOff>619125</xdr:colOff>
      <xdr:row>99</xdr:row>
      <xdr:rowOff>76200</xdr:rowOff>
    </xdr:to>
    <xdr:sp>
      <xdr:nvSpPr>
        <xdr:cNvPr id="6" name="Line 6"/>
        <xdr:cNvSpPr>
          <a:spLocks/>
        </xdr:cNvSpPr>
      </xdr:nvSpPr>
      <xdr:spPr>
        <a:xfrm flipV="1">
          <a:off x="6372225"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81</xdr:row>
      <xdr:rowOff>133350</xdr:rowOff>
    </xdr:from>
    <xdr:to>
      <xdr:col>6</xdr:col>
      <xdr:colOff>619125</xdr:colOff>
      <xdr:row>81</xdr:row>
      <xdr:rowOff>133350</xdr:rowOff>
    </xdr:to>
    <xdr:sp>
      <xdr:nvSpPr>
        <xdr:cNvPr id="7" name="Line 7"/>
        <xdr:cNvSpPr>
          <a:spLocks/>
        </xdr:cNvSpPr>
      </xdr:nvSpPr>
      <xdr:spPr>
        <a:xfrm flipH="1">
          <a:off x="5762625" y="104298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1276350</xdr:colOff>
      <xdr:row>75</xdr:row>
      <xdr:rowOff>76200</xdr:rowOff>
    </xdr:from>
    <xdr:to>
      <xdr:col>5</xdr:col>
      <xdr:colOff>695325</xdr:colOff>
      <xdr:row>78</xdr:row>
      <xdr:rowOff>0</xdr:rowOff>
    </xdr:to>
    <xdr:sp>
      <xdr:nvSpPr>
        <xdr:cNvPr id="8" name="Line 8"/>
        <xdr:cNvSpPr>
          <a:spLocks/>
        </xdr:cNvSpPr>
      </xdr:nvSpPr>
      <xdr:spPr>
        <a:xfrm>
          <a:off x="3219450" y="10429875"/>
          <a:ext cx="1733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79</xdr:row>
      <xdr:rowOff>0</xdr:rowOff>
    </xdr:from>
    <xdr:to>
      <xdr:col>5</xdr:col>
      <xdr:colOff>733425</xdr:colOff>
      <xdr:row>80</xdr:row>
      <xdr:rowOff>133350</xdr:rowOff>
    </xdr:to>
    <xdr:sp>
      <xdr:nvSpPr>
        <xdr:cNvPr id="9" name="Line 9"/>
        <xdr:cNvSpPr>
          <a:spLocks/>
        </xdr:cNvSpPr>
      </xdr:nvSpPr>
      <xdr:spPr>
        <a:xfrm>
          <a:off x="4991100" y="10429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83</xdr:row>
      <xdr:rowOff>9525</xdr:rowOff>
    </xdr:from>
    <xdr:to>
      <xdr:col>5</xdr:col>
      <xdr:colOff>723900</xdr:colOff>
      <xdr:row>83</xdr:row>
      <xdr:rowOff>133350</xdr:rowOff>
    </xdr:to>
    <xdr:sp>
      <xdr:nvSpPr>
        <xdr:cNvPr id="10" name="Line 10"/>
        <xdr:cNvSpPr>
          <a:spLocks/>
        </xdr:cNvSpPr>
      </xdr:nvSpPr>
      <xdr:spPr>
        <a:xfrm flipH="1">
          <a:off x="2609850" y="10429875"/>
          <a:ext cx="2371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86</xdr:row>
      <xdr:rowOff>0</xdr:rowOff>
    </xdr:from>
    <xdr:to>
      <xdr:col>3</xdr:col>
      <xdr:colOff>628650</xdr:colOff>
      <xdr:row>87</xdr:row>
      <xdr:rowOff>133350</xdr:rowOff>
    </xdr:to>
    <xdr:sp>
      <xdr:nvSpPr>
        <xdr:cNvPr id="11" name="Line 11"/>
        <xdr:cNvSpPr>
          <a:spLocks/>
        </xdr:cNvSpPr>
      </xdr:nvSpPr>
      <xdr:spPr>
        <a:xfrm>
          <a:off x="2571750" y="10429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97</xdr:row>
      <xdr:rowOff>0</xdr:rowOff>
    </xdr:from>
    <xdr:to>
      <xdr:col>3</xdr:col>
      <xdr:colOff>628650</xdr:colOff>
      <xdr:row>98</xdr:row>
      <xdr:rowOff>133350</xdr:rowOff>
    </xdr:to>
    <xdr:sp>
      <xdr:nvSpPr>
        <xdr:cNvPr id="12" name="Line 12"/>
        <xdr:cNvSpPr>
          <a:spLocks/>
        </xdr:cNvSpPr>
      </xdr:nvSpPr>
      <xdr:spPr>
        <a:xfrm>
          <a:off x="2571750" y="10429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90</xdr:row>
      <xdr:rowOff>9525</xdr:rowOff>
    </xdr:from>
    <xdr:to>
      <xdr:col>3</xdr:col>
      <xdr:colOff>628650</xdr:colOff>
      <xdr:row>93</xdr:row>
      <xdr:rowOff>19050</xdr:rowOff>
    </xdr:to>
    <xdr:sp>
      <xdr:nvSpPr>
        <xdr:cNvPr id="13" name="Line 13"/>
        <xdr:cNvSpPr>
          <a:spLocks/>
        </xdr:cNvSpPr>
      </xdr:nvSpPr>
      <xdr:spPr>
        <a:xfrm>
          <a:off x="2571750" y="10429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104</xdr:row>
      <xdr:rowOff>57150</xdr:rowOff>
    </xdr:from>
    <xdr:to>
      <xdr:col>3</xdr:col>
      <xdr:colOff>1009650</xdr:colOff>
      <xdr:row>105</xdr:row>
      <xdr:rowOff>123825</xdr:rowOff>
    </xdr:to>
    <xdr:sp>
      <xdr:nvSpPr>
        <xdr:cNvPr id="14" name="AutoShape 14"/>
        <xdr:cNvSpPr>
          <a:spLocks/>
        </xdr:cNvSpPr>
      </xdr:nvSpPr>
      <xdr:spPr>
        <a:xfrm>
          <a:off x="2181225" y="10429875"/>
          <a:ext cx="771525" cy="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STOP</a:t>
          </a:r>
        </a:p>
      </xdr:txBody>
    </xdr:sp>
    <xdr:clientData/>
  </xdr:twoCellAnchor>
  <xdr:twoCellAnchor>
    <xdr:from>
      <xdr:col>1</xdr:col>
      <xdr:colOff>0</xdr:colOff>
      <xdr:row>102</xdr:row>
      <xdr:rowOff>95250</xdr:rowOff>
    </xdr:from>
    <xdr:to>
      <xdr:col>3</xdr:col>
      <xdr:colOff>609600</xdr:colOff>
      <xdr:row>102</xdr:row>
      <xdr:rowOff>95250</xdr:rowOff>
    </xdr:to>
    <xdr:sp>
      <xdr:nvSpPr>
        <xdr:cNvPr id="15" name="Line 15"/>
        <xdr:cNvSpPr>
          <a:spLocks/>
        </xdr:cNvSpPr>
      </xdr:nvSpPr>
      <xdr:spPr>
        <a:xfrm>
          <a:off x="723900" y="10429875"/>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102</xdr:row>
      <xdr:rowOff>95250</xdr:rowOff>
    </xdr:from>
    <xdr:to>
      <xdr:col>3</xdr:col>
      <xdr:colOff>609600</xdr:colOff>
      <xdr:row>104</xdr:row>
      <xdr:rowOff>57150</xdr:rowOff>
    </xdr:to>
    <xdr:sp>
      <xdr:nvSpPr>
        <xdr:cNvPr id="16" name="Line 16"/>
        <xdr:cNvSpPr>
          <a:spLocks/>
        </xdr:cNvSpPr>
      </xdr:nvSpPr>
      <xdr:spPr>
        <a:xfrm>
          <a:off x="2552700" y="10429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53</xdr:row>
      <xdr:rowOff>0</xdr:rowOff>
    </xdr:from>
    <xdr:to>
      <xdr:col>4</xdr:col>
      <xdr:colOff>161925</xdr:colOff>
      <xdr:row>59</xdr:row>
      <xdr:rowOff>0</xdr:rowOff>
    </xdr:to>
    <xdr:sp>
      <xdr:nvSpPr>
        <xdr:cNvPr id="17" name="AutoShape 17"/>
        <xdr:cNvSpPr>
          <a:spLocks/>
        </xdr:cNvSpPr>
      </xdr:nvSpPr>
      <xdr:spPr>
        <a:xfrm>
          <a:off x="1638300" y="7724775"/>
          <a:ext cx="1847850" cy="8572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FINAL SELECTION / QUOTE ACCEPTABLE ?</a:t>
          </a:r>
        </a:p>
      </xdr:txBody>
    </xdr:sp>
    <xdr:clientData/>
  </xdr:twoCellAnchor>
  <xdr:twoCellAnchor>
    <xdr:from>
      <xdr:col>3</xdr:col>
      <xdr:colOff>714375</xdr:colOff>
      <xdr:row>21</xdr:row>
      <xdr:rowOff>0</xdr:rowOff>
    </xdr:from>
    <xdr:to>
      <xdr:col>4</xdr:col>
      <xdr:colOff>914400</xdr:colOff>
      <xdr:row>21</xdr:row>
      <xdr:rowOff>0</xdr:rowOff>
    </xdr:to>
    <xdr:sp>
      <xdr:nvSpPr>
        <xdr:cNvPr id="18" name="Line 19"/>
        <xdr:cNvSpPr>
          <a:spLocks/>
        </xdr:cNvSpPr>
      </xdr:nvSpPr>
      <xdr:spPr>
        <a:xfrm flipV="1">
          <a:off x="2657475" y="3152775"/>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866775</xdr:colOff>
      <xdr:row>23</xdr:row>
      <xdr:rowOff>66675</xdr:rowOff>
    </xdr:from>
    <xdr:to>
      <xdr:col>6</xdr:col>
      <xdr:colOff>0</xdr:colOff>
      <xdr:row>28</xdr:row>
      <xdr:rowOff>114300</xdr:rowOff>
    </xdr:to>
    <xdr:sp>
      <xdr:nvSpPr>
        <xdr:cNvPr id="19" name="AutoShape 20"/>
        <xdr:cNvSpPr>
          <a:spLocks/>
        </xdr:cNvSpPr>
      </xdr:nvSpPr>
      <xdr:spPr>
        <a:xfrm>
          <a:off x="4191000" y="3505200"/>
          <a:ext cx="1562100" cy="762000"/>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723900</xdr:colOff>
      <xdr:row>22</xdr:row>
      <xdr:rowOff>9525</xdr:rowOff>
    </xdr:from>
    <xdr:to>
      <xdr:col>5</xdr:col>
      <xdr:colOff>723900</xdr:colOff>
      <xdr:row>23</xdr:row>
      <xdr:rowOff>66675</xdr:rowOff>
    </xdr:to>
    <xdr:sp>
      <xdr:nvSpPr>
        <xdr:cNvPr id="20" name="Line 21"/>
        <xdr:cNvSpPr>
          <a:spLocks/>
        </xdr:cNvSpPr>
      </xdr:nvSpPr>
      <xdr:spPr>
        <a:xfrm>
          <a:off x="4981575" y="33051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26</xdr:row>
      <xdr:rowOff>19050</xdr:rowOff>
    </xdr:from>
    <xdr:to>
      <xdr:col>6</xdr:col>
      <xdr:colOff>704850</xdr:colOff>
      <xdr:row>26</xdr:row>
      <xdr:rowOff>19050</xdr:rowOff>
    </xdr:to>
    <xdr:sp>
      <xdr:nvSpPr>
        <xdr:cNvPr id="21" name="Line 22"/>
        <xdr:cNvSpPr>
          <a:spLocks/>
        </xdr:cNvSpPr>
      </xdr:nvSpPr>
      <xdr:spPr>
        <a:xfrm>
          <a:off x="5762625" y="388620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27</xdr:row>
      <xdr:rowOff>9525</xdr:rowOff>
    </xdr:from>
    <xdr:to>
      <xdr:col>7</xdr:col>
      <xdr:colOff>514350</xdr:colOff>
      <xdr:row>27</xdr:row>
      <xdr:rowOff>133350</xdr:rowOff>
    </xdr:to>
    <xdr:sp>
      <xdr:nvSpPr>
        <xdr:cNvPr id="22" name="Line 23"/>
        <xdr:cNvSpPr>
          <a:spLocks/>
        </xdr:cNvSpPr>
      </xdr:nvSpPr>
      <xdr:spPr>
        <a:xfrm>
          <a:off x="6991350" y="4019550"/>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30</xdr:row>
      <xdr:rowOff>85725</xdr:rowOff>
    </xdr:from>
    <xdr:to>
      <xdr:col>7</xdr:col>
      <xdr:colOff>866775</xdr:colOff>
      <xdr:row>34</xdr:row>
      <xdr:rowOff>123825</xdr:rowOff>
    </xdr:to>
    <xdr:sp>
      <xdr:nvSpPr>
        <xdr:cNvPr id="23" name="AutoShape 24"/>
        <xdr:cNvSpPr>
          <a:spLocks/>
        </xdr:cNvSpPr>
      </xdr:nvSpPr>
      <xdr:spPr>
        <a:xfrm>
          <a:off x="6629400" y="4524375"/>
          <a:ext cx="714375" cy="60960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APPR-OVED</a:t>
          </a:r>
        </a:p>
      </xdr:txBody>
    </xdr:sp>
    <xdr:clientData/>
  </xdr:twoCellAnchor>
  <xdr:twoCellAnchor>
    <xdr:from>
      <xdr:col>7</xdr:col>
      <xdr:colOff>514350</xdr:colOff>
      <xdr:row>29</xdr:row>
      <xdr:rowOff>9525</xdr:rowOff>
    </xdr:from>
    <xdr:to>
      <xdr:col>7</xdr:col>
      <xdr:colOff>514350</xdr:colOff>
      <xdr:row>30</xdr:row>
      <xdr:rowOff>85725</xdr:rowOff>
    </xdr:to>
    <xdr:sp>
      <xdr:nvSpPr>
        <xdr:cNvPr id="24" name="Line 25"/>
        <xdr:cNvSpPr>
          <a:spLocks/>
        </xdr:cNvSpPr>
      </xdr:nvSpPr>
      <xdr:spPr>
        <a:xfrm>
          <a:off x="6991350" y="43053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32</xdr:row>
      <xdr:rowOff>104775</xdr:rowOff>
    </xdr:from>
    <xdr:to>
      <xdr:col>7</xdr:col>
      <xdr:colOff>152400</xdr:colOff>
      <xdr:row>32</xdr:row>
      <xdr:rowOff>104775</xdr:rowOff>
    </xdr:to>
    <xdr:sp>
      <xdr:nvSpPr>
        <xdr:cNvPr id="25" name="Line 26"/>
        <xdr:cNvSpPr>
          <a:spLocks/>
        </xdr:cNvSpPr>
      </xdr:nvSpPr>
      <xdr:spPr>
        <a:xfrm flipH="1">
          <a:off x="5762625" y="482917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885825</xdr:colOff>
      <xdr:row>32</xdr:row>
      <xdr:rowOff>114300</xdr:rowOff>
    </xdr:from>
    <xdr:to>
      <xdr:col>8</xdr:col>
      <xdr:colOff>342900</xdr:colOff>
      <xdr:row>32</xdr:row>
      <xdr:rowOff>114300</xdr:rowOff>
    </xdr:to>
    <xdr:sp>
      <xdr:nvSpPr>
        <xdr:cNvPr id="26" name="Line 27"/>
        <xdr:cNvSpPr>
          <a:spLocks/>
        </xdr:cNvSpPr>
      </xdr:nvSpPr>
      <xdr:spPr>
        <a:xfrm>
          <a:off x="7362825" y="48387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28</xdr:row>
      <xdr:rowOff>85725</xdr:rowOff>
    </xdr:from>
    <xdr:to>
      <xdr:col>8</xdr:col>
      <xdr:colOff>352425</xdr:colOff>
      <xdr:row>32</xdr:row>
      <xdr:rowOff>114300</xdr:rowOff>
    </xdr:to>
    <xdr:sp>
      <xdr:nvSpPr>
        <xdr:cNvPr id="27" name="Line 28"/>
        <xdr:cNvSpPr>
          <a:spLocks/>
        </xdr:cNvSpPr>
      </xdr:nvSpPr>
      <xdr:spPr>
        <a:xfrm flipV="1">
          <a:off x="8086725" y="423862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28</xdr:row>
      <xdr:rowOff>85725</xdr:rowOff>
    </xdr:from>
    <xdr:to>
      <xdr:col>8</xdr:col>
      <xdr:colOff>352425</xdr:colOff>
      <xdr:row>28</xdr:row>
      <xdr:rowOff>85725</xdr:rowOff>
    </xdr:to>
    <xdr:sp>
      <xdr:nvSpPr>
        <xdr:cNvPr id="28" name="Line 29"/>
        <xdr:cNvSpPr>
          <a:spLocks/>
        </xdr:cNvSpPr>
      </xdr:nvSpPr>
      <xdr:spPr>
        <a:xfrm flipH="1">
          <a:off x="7743825" y="42386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723900</xdr:colOff>
      <xdr:row>34</xdr:row>
      <xdr:rowOff>0</xdr:rowOff>
    </xdr:from>
    <xdr:to>
      <xdr:col>5</xdr:col>
      <xdr:colOff>723900</xdr:colOff>
      <xdr:row>36</xdr:row>
      <xdr:rowOff>133350</xdr:rowOff>
    </xdr:to>
    <xdr:sp>
      <xdr:nvSpPr>
        <xdr:cNvPr id="29" name="Line 30"/>
        <xdr:cNvSpPr>
          <a:spLocks/>
        </xdr:cNvSpPr>
      </xdr:nvSpPr>
      <xdr:spPr>
        <a:xfrm>
          <a:off x="4981575" y="50101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37</xdr:row>
      <xdr:rowOff>66675</xdr:rowOff>
    </xdr:from>
    <xdr:to>
      <xdr:col>4</xdr:col>
      <xdr:colOff>923925</xdr:colOff>
      <xdr:row>37</xdr:row>
      <xdr:rowOff>66675</xdr:rowOff>
    </xdr:to>
    <xdr:sp>
      <xdr:nvSpPr>
        <xdr:cNvPr id="30" name="Line 31"/>
        <xdr:cNvSpPr>
          <a:spLocks/>
        </xdr:cNvSpPr>
      </xdr:nvSpPr>
      <xdr:spPr>
        <a:xfrm flipH="1">
          <a:off x="3333750" y="5505450"/>
          <a:ext cx="914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38</xdr:row>
      <xdr:rowOff>95250</xdr:rowOff>
    </xdr:from>
    <xdr:to>
      <xdr:col>4</xdr:col>
      <xdr:colOff>923925</xdr:colOff>
      <xdr:row>38</xdr:row>
      <xdr:rowOff>95250</xdr:rowOff>
    </xdr:to>
    <xdr:sp>
      <xdr:nvSpPr>
        <xdr:cNvPr id="31" name="Line 32"/>
        <xdr:cNvSpPr>
          <a:spLocks/>
        </xdr:cNvSpPr>
      </xdr:nvSpPr>
      <xdr:spPr>
        <a:xfrm>
          <a:off x="3324225" y="56769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26</xdr:row>
      <xdr:rowOff>9525</xdr:rowOff>
    </xdr:from>
    <xdr:to>
      <xdr:col>4</xdr:col>
      <xdr:colOff>866775</xdr:colOff>
      <xdr:row>26</xdr:row>
      <xdr:rowOff>9525</xdr:rowOff>
    </xdr:to>
    <xdr:sp>
      <xdr:nvSpPr>
        <xdr:cNvPr id="32" name="Line 33"/>
        <xdr:cNvSpPr>
          <a:spLocks/>
        </xdr:cNvSpPr>
      </xdr:nvSpPr>
      <xdr:spPr>
        <a:xfrm flipH="1">
          <a:off x="3914775" y="3876675"/>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26</xdr:row>
      <xdr:rowOff>9525</xdr:rowOff>
    </xdr:from>
    <xdr:to>
      <xdr:col>4</xdr:col>
      <xdr:colOff>590550</xdr:colOff>
      <xdr:row>34</xdr:row>
      <xdr:rowOff>133350</xdr:rowOff>
    </xdr:to>
    <xdr:sp>
      <xdr:nvSpPr>
        <xdr:cNvPr id="33" name="Line 34"/>
        <xdr:cNvSpPr>
          <a:spLocks/>
        </xdr:cNvSpPr>
      </xdr:nvSpPr>
      <xdr:spPr>
        <a:xfrm>
          <a:off x="3914775" y="3876675"/>
          <a:ext cx="0" cy="126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34</xdr:row>
      <xdr:rowOff>133350</xdr:rowOff>
    </xdr:from>
    <xdr:to>
      <xdr:col>5</xdr:col>
      <xdr:colOff>228600</xdr:colOff>
      <xdr:row>34</xdr:row>
      <xdr:rowOff>133350</xdr:rowOff>
    </xdr:to>
    <xdr:sp>
      <xdr:nvSpPr>
        <xdr:cNvPr id="34" name="Line 35"/>
        <xdr:cNvSpPr>
          <a:spLocks/>
        </xdr:cNvSpPr>
      </xdr:nvSpPr>
      <xdr:spPr>
        <a:xfrm>
          <a:off x="3933825" y="5143500"/>
          <a:ext cx="552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34</xdr:row>
      <xdr:rowOff>133350</xdr:rowOff>
    </xdr:from>
    <xdr:to>
      <xdr:col>5</xdr:col>
      <xdr:colOff>228600</xdr:colOff>
      <xdr:row>36</xdr:row>
      <xdr:rowOff>133350</xdr:rowOff>
    </xdr:to>
    <xdr:sp>
      <xdr:nvSpPr>
        <xdr:cNvPr id="35" name="Line 36"/>
        <xdr:cNvSpPr>
          <a:spLocks/>
        </xdr:cNvSpPr>
      </xdr:nvSpPr>
      <xdr:spPr>
        <a:xfrm>
          <a:off x="4486275" y="5143500"/>
          <a:ext cx="0" cy="28575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10</xdr:row>
      <xdr:rowOff>9525</xdr:rowOff>
    </xdr:from>
    <xdr:to>
      <xdr:col>3</xdr:col>
      <xdr:colOff>714375</xdr:colOff>
      <xdr:row>11</xdr:row>
      <xdr:rowOff>133350</xdr:rowOff>
    </xdr:to>
    <xdr:sp>
      <xdr:nvSpPr>
        <xdr:cNvPr id="36" name="Line 37"/>
        <xdr:cNvSpPr>
          <a:spLocks/>
        </xdr:cNvSpPr>
      </xdr:nvSpPr>
      <xdr:spPr>
        <a:xfrm>
          <a:off x="2657475" y="15906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18</xdr:row>
      <xdr:rowOff>0</xdr:rowOff>
    </xdr:from>
    <xdr:to>
      <xdr:col>3</xdr:col>
      <xdr:colOff>704850</xdr:colOff>
      <xdr:row>21</xdr:row>
      <xdr:rowOff>0</xdr:rowOff>
    </xdr:to>
    <xdr:sp>
      <xdr:nvSpPr>
        <xdr:cNvPr id="37" name="Line 38"/>
        <xdr:cNvSpPr>
          <a:spLocks/>
        </xdr:cNvSpPr>
      </xdr:nvSpPr>
      <xdr:spPr>
        <a:xfrm>
          <a:off x="2647950" y="2724150"/>
          <a:ext cx="0" cy="4286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14</xdr:row>
      <xdr:rowOff>0</xdr:rowOff>
    </xdr:from>
    <xdr:to>
      <xdr:col>3</xdr:col>
      <xdr:colOff>704850</xdr:colOff>
      <xdr:row>16</xdr:row>
      <xdr:rowOff>0</xdr:rowOff>
    </xdr:to>
    <xdr:sp>
      <xdr:nvSpPr>
        <xdr:cNvPr id="38" name="Line 39"/>
        <xdr:cNvSpPr>
          <a:spLocks/>
        </xdr:cNvSpPr>
      </xdr:nvSpPr>
      <xdr:spPr>
        <a:xfrm>
          <a:off x="2647950" y="21526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59</xdr:row>
      <xdr:rowOff>0</xdr:rowOff>
    </xdr:from>
    <xdr:to>
      <xdr:col>3</xdr:col>
      <xdr:colOff>628650</xdr:colOff>
      <xdr:row>61</xdr:row>
      <xdr:rowOff>66675</xdr:rowOff>
    </xdr:to>
    <xdr:sp>
      <xdr:nvSpPr>
        <xdr:cNvPr id="39" name="Line 41"/>
        <xdr:cNvSpPr>
          <a:spLocks/>
        </xdr:cNvSpPr>
      </xdr:nvSpPr>
      <xdr:spPr>
        <a:xfrm>
          <a:off x="2571750" y="85820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50</xdr:row>
      <xdr:rowOff>123825</xdr:rowOff>
    </xdr:from>
    <xdr:to>
      <xdr:col>3</xdr:col>
      <xdr:colOff>666750</xdr:colOff>
      <xdr:row>52</xdr:row>
      <xdr:rowOff>123825</xdr:rowOff>
    </xdr:to>
    <xdr:sp>
      <xdr:nvSpPr>
        <xdr:cNvPr id="40" name="Line 44"/>
        <xdr:cNvSpPr>
          <a:spLocks/>
        </xdr:cNvSpPr>
      </xdr:nvSpPr>
      <xdr:spPr>
        <a:xfrm>
          <a:off x="2609850" y="74199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46</xdr:row>
      <xdr:rowOff>0</xdr:rowOff>
    </xdr:from>
    <xdr:to>
      <xdr:col>3</xdr:col>
      <xdr:colOff>695325</xdr:colOff>
      <xdr:row>48</xdr:row>
      <xdr:rowOff>0</xdr:rowOff>
    </xdr:to>
    <xdr:sp>
      <xdr:nvSpPr>
        <xdr:cNvPr id="41" name="Line 45"/>
        <xdr:cNvSpPr>
          <a:spLocks/>
        </xdr:cNvSpPr>
      </xdr:nvSpPr>
      <xdr:spPr>
        <a:xfrm>
          <a:off x="2638425" y="67246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141</xdr:row>
      <xdr:rowOff>0</xdr:rowOff>
    </xdr:from>
    <xdr:to>
      <xdr:col>5</xdr:col>
      <xdr:colOff>9525</xdr:colOff>
      <xdr:row>141</xdr:row>
      <xdr:rowOff>0</xdr:rowOff>
    </xdr:to>
    <xdr:sp>
      <xdr:nvSpPr>
        <xdr:cNvPr id="42" name="Line 46"/>
        <xdr:cNvSpPr>
          <a:spLocks/>
        </xdr:cNvSpPr>
      </xdr:nvSpPr>
      <xdr:spPr>
        <a:xfrm>
          <a:off x="3333750" y="1071562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866775</xdr:colOff>
      <xdr:row>145</xdr:row>
      <xdr:rowOff>104775</xdr:rowOff>
    </xdr:from>
    <xdr:to>
      <xdr:col>6</xdr:col>
      <xdr:colOff>0</xdr:colOff>
      <xdr:row>151</xdr:row>
      <xdr:rowOff>0</xdr:rowOff>
    </xdr:to>
    <xdr:sp>
      <xdr:nvSpPr>
        <xdr:cNvPr id="43" name="AutoShape 47"/>
        <xdr:cNvSpPr>
          <a:spLocks/>
        </xdr:cNvSpPr>
      </xdr:nvSpPr>
      <xdr:spPr>
        <a:xfrm>
          <a:off x="4191000" y="11439525"/>
          <a:ext cx="1562100" cy="800100"/>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304800</xdr:colOff>
      <xdr:row>147</xdr:row>
      <xdr:rowOff>76200</xdr:rowOff>
    </xdr:from>
    <xdr:ext cx="942975" cy="180975"/>
    <xdr:sp>
      <xdr:nvSpPr>
        <xdr:cNvPr id="44" name="TextBox 48"/>
        <xdr:cNvSpPr txBox="1">
          <a:spLocks noChangeArrowheads="1"/>
        </xdr:cNvSpPr>
      </xdr:nvSpPr>
      <xdr:spPr>
        <a:xfrm>
          <a:off x="4562475" y="11725275"/>
          <a:ext cx="9429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STRATEGIC ITEM ?</a:t>
          </a:r>
        </a:p>
      </xdr:txBody>
    </xdr:sp>
    <xdr:clientData/>
  </xdr:oneCellAnchor>
  <xdr:twoCellAnchor>
    <xdr:from>
      <xdr:col>5</xdr:col>
      <xdr:colOff>723900</xdr:colOff>
      <xdr:row>142</xdr:row>
      <xdr:rowOff>0</xdr:rowOff>
    </xdr:from>
    <xdr:to>
      <xdr:col>5</xdr:col>
      <xdr:colOff>723900</xdr:colOff>
      <xdr:row>145</xdr:row>
      <xdr:rowOff>95250</xdr:rowOff>
    </xdr:to>
    <xdr:sp>
      <xdr:nvSpPr>
        <xdr:cNvPr id="45" name="Line 49"/>
        <xdr:cNvSpPr>
          <a:spLocks/>
        </xdr:cNvSpPr>
      </xdr:nvSpPr>
      <xdr:spPr>
        <a:xfrm>
          <a:off x="4981575" y="10858500"/>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723900</xdr:colOff>
      <xdr:row>151</xdr:row>
      <xdr:rowOff>0</xdr:rowOff>
    </xdr:from>
    <xdr:to>
      <xdr:col>5</xdr:col>
      <xdr:colOff>723900</xdr:colOff>
      <xdr:row>154</xdr:row>
      <xdr:rowOff>0</xdr:rowOff>
    </xdr:to>
    <xdr:sp>
      <xdr:nvSpPr>
        <xdr:cNvPr id="46" name="Line 50"/>
        <xdr:cNvSpPr>
          <a:spLocks/>
        </xdr:cNvSpPr>
      </xdr:nvSpPr>
      <xdr:spPr>
        <a:xfrm>
          <a:off x="4981575" y="1222057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1485900</xdr:colOff>
      <xdr:row>148</xdr:row>
      <xdr:rowOff>47625</xdr:rowOff>
    </xdr:from>
    <xdr:to>
      <xdr:col>6</xdr:col>
      <xdr:colOff>714375</xdr:colOff>
      <xdr:row>148</xdr:row>
      <xdr:rowOff>47625</xdr:rowOff>
    </xdr:to>
    <xdr:sp>
      <xdr:nvSpPr>
        <xdr:cNvPr id="47" name="Line 51"/>
        <xdr:cNvSpPr>
          <a:spLocks/>
        </xdr:cNvSpPr>
      </xdr:nvSpPr>
      <xdr:spPr>
        <a:xfrm>
          <a:off x="5743575" y="118205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152</xdr:row>
      <xdr:rowOff>104775</xdr:rowOff>
    </xdr:from>
    <xdr:to>
      <xdr:col>8</xdr:col>
      <xdr:colOff>57150</xdr:colOff>
      <xdr:row>158</xdr:row>
      <xdr:rowOff>9525</xdr:rowOff>
    </xdr:to>
    <xdr:sp>
      <xdr:nvSpPr>
        <xdr:cNvPr id="48" name="AutoShape 52"/>
        <xdr:cNvSpPr>
          <a:spLocks/>
        </xdr:cNvSpPr>
      </xdr:nvSpPr>
      <xdr:spPr>
        <a:xfrm>
          <a:off x="6229350" y="12468225"/>
          <a:ext cx="1562100" cy="781050"/>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209550</xdr:colOff>
      <xdr:row>154</xdr:row>
      <xdr:rowOff>114300</xdr:rowOff>
    </xdr:from>
    <xdr:ext cx="676275" cy="180975"/>
    <xdr:sp>
      <xdr:nvSpPr>
        <xdr:cNvPr id="49" name="TextBox 53"/>
        <xdr:cNvSpPr txBox="1">
          <a:spLocks noChangeArrowheads="1"/>
        </xdr:cNvSpPr>
      </xdr:nvSpPr>
      <xdr:spPr>
        <a:xfrm>
          <a:off x="6686550" y="12763500"/>
          <a:ext cx="6762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APPROVAL?</a:t>
          </a:r>
          <a:r>
            <a:rPr lang="en-US" cap="none" sz="1000" b="0" i="0" u="none" baseline="0">
              <a:latin typeface="Arial"/>
              <a:ea typeface="Arial"/>
              <a:cs typeface="Arial"/>
            </a:rPr>
            <a:t> </a:t>
          </a:r>
        </a:p>
      </xdr:txBody>
    </xdr:sp>
    <xdr:clientData/>
  </xdr:oneCellAnchor>
  <xdr:twoCellAnchor>
    <xdr:from>
      <xdr:col>7</xdr:col>
      <xdr:colOff>552450</xdr:colOff>
      <xdr:row>150</xdr:row>
      <xdr:rowOff>9525</xdr:rowOff>
    </xdr:from>
    <xdr:to>
      <xdr:col>7</xdr:col>
      <xdr:colOff>552450</xdr:colOff>
      <xdr:row>152</xdr:row>
      <xdr:rowOff>114300</xdr:rowOff>
    </xdr:to>
    <xdr:sp>
      <xdr:nvSpPr>
        <xdr:cNvPr id="50" name="Line 54"/>
        <xdr:cNvSpPr>
          <a:spLocks/>
        </xdr:cNvSpPr>
      </xdr:nvSpPr>
      <xdr:spPr>
        <a:xfrm>
          <a:off x="7029450" y="1206817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723900</xdr:colOff>
      <xdr:row>156</xdr:row>
      <xdr:rowOff>0</xdr:rowOff>
    </xdr:from>
    <xdr:to>
      <xdr:col>5</xdr:col>
      <xdr:colOff>723900</xdr:colOff>
      <xdr:row>163</xdr:row>
      <xdr:rowOff>0</xdr:rowOff>
    </xdr:to>
    <xdr:sp>
      <xdr:nvSpPr>
        <xdr:cNvPr id="51" name="Line 55"/>
        <xdr:cNvSpPr>
          <a:spLocks/>
        </xdr:cNvSpPr>
      </xdr:nvSpPr>
      <xdr:spPr>
        <a:xfrm>
          <a:off x="4981575" y="12915900"/>
          <a:ext cx="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158</xdr:row>
      <xdr:rowOff>9525</xdr:rowOff>
    </xdr:from>
    <xdr:to>
      <xdr:col>7</xdr:col>
      <xdr:colOff>552450</xdr:colOff>
      <xdr:row>163</xdr:row>
      <xdr:rowOff>0</xdr:rowOff>
    </xdr:to>
    <xdr:sp>
      <xdr:nvSpPr>
        <xdr:cNvPr id="52" name="Line 56"/>
        <xdr:cNvSpPr>
          <a:spLocks/>
        </xdr:cNvSpPr>
      </xdr:nvSpPr>
      <xdr:spPr>
        <a:xfrm>
          <a:off x="7029450" y="13230225"/>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163</xdr:row>
      <xdr:rowOff>0</xdr:rowOff>
    </xdr:from>
    <xdr:to>
      <xdr:col>7</xdr:col>
      <xdr:colOff>552450</xdr:colOff>
      <xdr:row>163</xdr:row>
      <xdr:rowOff>0</xdr:rowOff>
    </xdr:to>
    <xdr:sp>
      <xdr:nvSpPr>
        <xdr:cNvPr id="53" name="Line 57"/>
        <xdr:cNvSpPr>
          <a:spLocks/>
        </xdr:cNvSpPr>
      </xdr:nvSpPr>
      <xdr:spPr>
        <a:xfrm flipH="1">
          <a:off x="3333750" y="13973175"/>
          <a:ext cx="3695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155</xdr:row>
      <xdr:rowOff>57150</xdr:rowOff>
    </xdr:from>
    <xdr:to>
      <xdr:col>9</xdr:col>
      <xdr:colOff>66675</xdr:colOff>
      <xdr:row>155</xdr:row>
      <xdr:rowOff>57150</xdr:rowOff>
    </xdr:to>
    <xdr:sp>
      <xdr:nvSpPr>
        <xdr:cNvPr id="54" name="Line 58"/>
        <xdr:cNvSpPr>
          <a:spLocks/>
        </xdr:cNvSpPr>
      </xdr:nvSpPr>
      <xdr:spPr>
        <a:xfrm>
          <a:off x="7800975" y="128301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148</xdr:row>
      <xdr:rowOff>66675</xdr:rowOff>
    </xdr:from>
    <xdr:to>
      <xdr:col>9</xdr:col>
      <xdr:colOff>57150</xdr:colOff>
      <xdr:row>155</xdr:row>
      <xdr:rowOff>57150</xdr:rowOff>
    </xdr:to>
    <xdr:sp>
      <xdr:nvSpPr>
        <xdr:cNvPr id="55" name="Line 59"/>
        <xdr:cNvSpPr>
          <a:spLocks/>
        </xdr:cNvSpPr>
      </xdr:nvSpPr>
      <xdr:spPr>
        <a:xfrm flipV="1">
          <a:off x="8401050" y="11839575"/>
          <a:ext cx="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148</xdr:row>
      <xdr:rowOff>66675</xdr:rowOff>
    </xdr:from>
    <xdr:to>
      <xdr:col>9</xdr:col>
      <xdr:colOff>57150</xdr:colOff>
      <xdr:row>148</xdr:row>
      <xdr:rowOff>66675</xdr:rowOff>
    </xdr:to>
    <xdr:sp>
      <xdr:nvSpPr>
        <xdr:cNvPr id="56" name="Line 60"/>
        <xdr:cNvSpPr>
          <a:spLocks/>
        </xdr:cNvSpPr>
      </xdr:nvSpPr>
      <xdr:spPr>
        <a:xfrm flipH="1">
          <a:off x="7743825" y="1183957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66675</xdr:colOff>
      <xdr:row>26</xdr:row>
      <xdr:rowOff>47625</xdr:rowOff>
    </xdr:from>
    <xdr:ext cx="285750" cy="180975"/>
    <xdr:sp>
      <xdr:nvSpPr>
        <xdr:cNvPr id="57" name="TextBox 61"/>
        <xdr:cNvSpPr txBox="1">
          <a:spLocks noChangeArrowheads="1"/>
        </xdr:cNvSpPr>
      </xdr:nvSpPr>
      <xdr:spPr>
        <a:xfrm>
          <a:off x="5819775" y="3914775"/>
          <a:ext cx="2857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15%</a:t>
          </a:r>
        </a:p>
      </xdr:txBody>
    </xdr:sp>
    <xdr:clientData/>
  </xdr:oneCellAnchor>
  <xdr:oneCellAnchor>
    <xdr:from>
      <xdr:col>5</xdr:col>
      <xdr:colOff>352425</xdr:colOff>
      <xdr:row>29</xdr:row>
      <xdr:rowOff>19050</xdr:rowOff>
    </xdr:from>
    <xdr:ext cx="285750" cy="180975"/>
    <xdr:sp>
      <xdr:nvSpPr>
        <xdr:cNvPr id="58" name="TextBox 62"/>
        <xdr:cNvSpPr txBox="1">
          <a:spLocks noChangeArrowheads="1"/>
        </xdr:cNvSpPr>
      </xdr:nvSpPr>
      <xdr:spPr>
        <a:xfrm>
          <a:off x="4610100" y="4314825"/>
          <a:ext cx="2857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85%</a:t>
          </a:r>
        </a:p>
      </xdr:txBody>
    </xdr:sp>
    <xdr:clientData/>
  </xdr:oneCellAnchor>
  <xdr:twoCellAnchor>
    <xdr:from>
      <xdr:col>5</xdr:col>
      <xdr:colOff>533400</xdr:colOff>
      <xdr:row>181</xdr:row>
      <xdr:rowOff>0</xdr:rowOff>
    </xdr:from>
    <xdr:to>
      <xdr:col>5</xdr:col>
      <xdr:colOff>533400</xdr:colOff>
      <xdr:row>184</xdr:row>
      <xdr:rowOff>0</xdr:rowOff>
    </xdr:to>
    <xdr:sp>
      <xdr:nvSpPr>
        <xdr:cNvPr id="59" name="Line 64"/>
        <xdr:cNvSpPr>
          <a:spLocks/>
        </xdr:cNvSpPr>
      </xdr:nvSpPr>
      <xdr:spPr>
        <a:xfrm>
          <a:off x="4791075" y="1664017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228</xdr:row>
      <xdr:rowOff>0</xdr:rowOff>
    </xdr:from>
    <xdr:to>
      <xdr:col>6</xdr:col>
      <xdr:colOff>180975</xdr:colOff>
      <xdr:row>228</xdr:row>
      <xdr:rowOff>0</xdr:rowOff>
    </xdr:to>
    <xdr:sp>
      <xdr:nvSpPr>
        <xdr:cNvPr id="60" name="Line 74"/>
        <xdr:cNvSpPr>
          <a:spLocks/>
        </xdr:cNvSpPr>
      </xdr:nvSpPr>
      <xdr:spPr>
        <a:xfrm>
          <a:off x="5934075" y="2341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228</xdr:row>
      <xdr:rowOff>0</xdr:rowOff>
    </xdr:from>
    <xdr:to>
      <xdr:col>6</xdr:col>
      <xdr:colOff>276225</xdr:colOff>
      <xdr:row>228</xdr:row>
      <xdr:rowOff>0</xdr:rowOff>
    </xdr:to>
    <xdr:sp>
      <xdr:nvSpPr>
        <xdr:cNvPr id="61" name="Line 77"/>
        <xdr:cNvSpPr>
          <a:spLocks/>
        </xdr:cNvSpPr>
      </xdr:nvSpPr>
      <xdr:spPr>
        <a:xfrm>
          <a:off x="6029325" y="234124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228</xdr:row>
      <xdr:rowOff>0</xdr:rowOff>
    </xdr:from>
    <xdr:to>
      <xdr:col>5</xdr:col>
      <xdr:colOff>295275</xdr:colOff>
      <xdr:row>228</xdr:row>
      <xdr:rowOff>0</xdr:rowOff>
    </xdr:to>
    <xdr:sp>
      <xdr:nvSpPr>
        <xdr:cNvPr id="62" name="Line 80"/>
        <xdr:cNvSpPr>
          <a:spLocks/>
        </xdr:cNvSpPr>
      </xdr:nvSpPr>
      <xdr:spPr>
        <a:xfrm>
          <a:off x="4552950" y="2341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228</xdr:row>
      <xdr:rowOff>0</xdr:rowOff>
    </xdr:from>
    <xdr:to>
      <xdr:col>4</xdr:col>
      <xdr:colOff>457200</xdr:colOff>
      <xdr:row>228</xdr:row>
      <xdr:rowOff>0</xdr:rowOff>
    </xdr:to>
    <xdr:sp>
      <xdr:nvSpPr>
        <xdr:cNvPr id="63" name="Line 83"/>
        <xdr:cNvSpPr>
          <a:spLocks/>
        </xdr:cNvSpPr>
      </xdr:nvSpPr>
      <xdr:spPr>
        <a:xfrm>
          <a:off x="3781425" y="234124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62</xdr:row>
      <xdr:rowOff>57150</xdr:rowOff>
    </xdr:from>
    <xdr:to>
      <xdr:col>5</xdr:col>
      <xdr:colOff>0</xdr:colOff>
      <xdr:row>62</xdr:row>
      <xdr:rowOff>57150</xdr:rowOff>
    </xdr:to>
    <xdr:sp>
      <xdr:nvSpPr>
        <xdr:cNvPr id="64" name="Line 86"/>
        <xdr:cNvSpPr>
          <a:spLocks/>
        </xdr:cNvSpPr>
      </xdr:nvSpPr>
      <xdr:spPr>
        <a:xfrm>
          <a:off x="3343275" y="9067800"/>
          <a:ext cx="914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152400</xdr:colOff>
      <xdr:row>54</xdr:row>
      <xdr:rowOff>66675</xdr:rowOff>
    </xdr:from>
    <xdr:ext cx="1085850" cy="457200"/>
    <xdr:sp>
      <xdr:nvSpPr>
        <xdr:cNvPr id="65" name="TextBox 87"/>
        <xdr:cNvSpPr txBox="1">
          <a:spLocks noChangeArrowheads="1"/>
        </xdr:cNvSpPr>
      </xdr:nvSpPr>
      <xdr:spPr>
        <a:xfrm>
          <a:off x="152400" y="7934325"/>
          <a:ext cx="1085850" cy="4572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NOTIFY SUPPLER
RENEGOTIATE IF NEEDED
</a:t>
          </a:r>
        </a:p>
      </xdr:txBody>
    </xdr:sp>
    <xdr:clientData/>
  </xdr:oneCellAnchor>
  <xdr:twoCellAnchor>
    <xdr:from>
      <xdr:col>1</xdr:col>
      <xdr:colOff>504825</xdr:colOff>
      <xdr:row>56</xdr:row>
      <xdr:rowOff>0</xdr:rowOff>
    </xdr:from>
    <xdr:to>
      <xdr:col>2</xdr:col>
      <xdr:colOff>304800</xdr:colOff>
      <xdr:row>56</xdr:row>
      <xdr:rowOff>0</xdr:rowOff>
    </xdr:to>
    <xdr:sp>
      <xdr:nvSpPr>
        <xdr:cNvPr id="66" name="Line 88"/>
        <xdr:cNvSpPr>
          <a:spLocks/>
        </xdr:cNvSpPr>
      </xdr:nvSpPr>
      <xdr:spPr>
        <a:xfrm flipH="1">
          <a:off x="1228725" y="81534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23</xdr:row>
      <xdr:rowOff>95250</xdr:rowOff>
    </xdr:from>
    <xdr:to>
      <xdr:col>0</xdr:col>
      <xdr:colOff>685800</xdr:colOff>
      <xdr:row>54</xdr:row>
      <xdr:rowOff>57150</xdr:rowOff>
    </xdr:to>
    <xdr:sp>
      <xdr:nvSpPr>
        <xdr:cNvPr id="67" name="Line 89"/>
        <xdr:cNvSpPr>
          <a:spLocks/>
        </xdr:cNvSpPr>
      </xdr:nvSpPr>
      <xdr:spPr>
        <a:xfrm flipV="1">
          <a:off x="685800" y="3533775"/>
          <a:ext cx="0" cy="4391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23</xdr:row>
      <xdr:rowOff>95250</xdr:rowOff>
    </xdr:from>
    <xdr:to>
      <xdr:col>5</xdr:col>
      <xdr:colOff>266700</xdr:colOff>
      <xdr:row>23</xdr:row>
      <xdr:rowOff>95250</xdr:rowOff>
    </xdr:to>
    <xdr:sp>
      <xdr:nvSpPr>
        <xdr:cNvPr id="68" name="Line 90"/>
        <xdr:cNvSpPr>
          <a:spLocks/>
        </xdr:cNvSpPr>
      </xdr:nvSpPr>
      <xdr:spPr>
        <a:xfrm>
          <a:off x="685800" y="3533775"/>
          <a:ext cx="38385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22</xdr:row>
      <xdr:rowOff>0</xdr:rowOff>
    </xdr:from>
    <xdr:to>
      <xdr:col>5</xdr:col>
      <xdr:colOff>257175</xdr:colOff>
      <xdr:row>23</xdr:row>
      <xdr:rowOff>85725</xdr:rowOff>
    </xdr:to>
    <xdr:sp>
      <xdr:nvSpPr>
        <xdr:cNvPr id="69" name="Line 92"/>
        <xdr:cNvSpPr>
          <a:spLocks/>
        </xdr:cNvSpPr>
      </xdr:nvSpPr>
      <xdr:spPr>
        <a:xfrm flipV="1">
          <a:off x="4514850" y="3295650"/>
          <a:ext cx="0" cy="22860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933450</xdr:colOff>
      <xdr:row>178</xdr:row>
      <xdr:rowOff>66675</xdr:rowOff>
    </xdr:from>
    <xdr:ext cx="1076325" cy="333375"/>
    <xdr:sp>
      <xdr:nvSpPr>
        <xdr:cNvPr id="70" name="TextBox 93"/>
        <xdr:cNvSpPr txBox="1">
          <a:spLocks noChangeArrowheads="1"/>
        </xdr:cNvSpPr>
      </xdr:nvSpPr>
      <xdr:spPr>
        <a:xfrm>
          <a:off x="4257675" y="16278225"/>
          <a:ext cx="107632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SUPPLIER RECEIVES PO INFORMATION</a:t>
          </a:r>
        </a:p>
      </xdr:txBody>
    </xdr:sp>
    <xdr:clientData/>
  </xdr:oneCellAnchor>
  <xdr:twoCellAnchor>
    <xdr:from>
      <xdr:col>3</xdr:col>
      <xdr:colOff>1181100</xdr:colOff>
      <xdr:row>175</xdr:row>
      <xdr:rowOff>47625</xdr:rowOff>
    </xdr:from>
    <xdr:to>
      <xdr:col>5</xdr:col>
      <xdr:colOff>504825</xdr:colOff>
      <xdr:row>175</xdr:row>
      <xdr:rowOff>47625</xdr:rowOff>
    </xdr:to>
    <xdr:sp>
      <xdr:nvSpPr>
        <xdr:cNvPr id="71" name="Line 94"/>
        <xdr:cNvSpPr>
          <a:spLocks/>
        </xdr:cNvSpPr>
      </xdr:nvSpPr>
      <xdr:spPr>
        <a:xfrm>
          <a:off x="3124200" y="15830550"/>
          <a:ext cx="163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175</xdr:row>
      <xdr:rowOff>47625</xdr:rowOff>
    </xdr:from>
    <xdr:to>
      <xdr:col>5</xdr:col>
      <xdr:colOff>523875</xdr:colOff>
      <xdr:row>178</xdr:row>
      <xdr:rowOff>57150</xdr:rowOff>
    </xdr:to>
    <xdr:sp>
      <xdr:nvSpPr>
        <xdr:cNvPr id="72" name="Line 95"/>
        <xdr:cNvSpPr>
          <a:spLocks/>
        </xdr:cNvSpPr>
      </xdr:nvSpPr>
      <xdr:spPr>
        <a:xfrm>
          <a:off x="4781550" y="1583055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933450</xdr:colOff>
      <xdr:row>184</xdr:row>
      <xdr:rowOff>38100</xdr:rowOff>
    </xdr:from>
    <xdr:ext cx="1133475" cy="333375"/>
    <xdr:sp>
      <xdr:nvSpPr>
        <xdr:cNvPr id="73" name="TextBox 96"/>
        <xdr:cNvSpPr txBox="1">
          <a:spLocks noChangeArrowheads="1"/>
        </xdr:cNvSpPr>
      </xdr:nvSpPr>
      <xdr:spPr>
        <a:xfrm>
          <a:off x="4257675" y="17106900"/>
          <a:ext cx="11334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VERIFY PO TERMS;
SEND ACKNOWLEDGE</a:t>
          </a:r>
        </a:p>
      </xdr:txBody>
    </xdr:sp>
    <xdr:clientData/>
  </xdr:oneCellAnchor>
  <xdr:oneCellAnchor>
    <xdr:from>
      <xdr:col>2</xdr:col>
      <xdr:colOff>609600</xdr:colOff>
      <xdr:row>184</xdr:row>
      <xdr:rowOff>28575</xdr:rowOff>
    </xdr:from>
    <xdr:ext cx="1133475" cy="333375"/>
    <xdr:sp>
      <xdr:nvSpPr>
        <xdr:cNvPr id="74" name="TextBox 97"/>
        <xdr:cNvSpPr txBox="1">
          <a:spLocks noChangeArrowheads="1"/>
        </xdr:cNvSpPr>
      </xdr:nvSpPr>
      <xdr:spPr>
        <a:xfrm>
          <a:off x="1943100" y="17097375"/>
          <a:ext cx="11334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RECEIVE PO 
ACKNOWLEDGE</a:t>
          </a:r>
        </a:p>
      </xdr:txBody>
    </xdr:sp>
    <xdr:clientData/>
  </xdr:oneCellAnchor>
  <xdr:twoCellAnchor>
    <xdr:from>
      <xdr:col>3</xdr:col>
      <xdr:colOff>1133475</xdr:colOff>
      <xdr:row>185</xdr:row>
      <xdr:rowOff>57150</xdr:rowOff>
    </xdr:from>
    <xdr:to>
      <xdr:col>4</xdr:col>
      <xdr:colOff>923925</xdr:colOff>
      <xdr:row>185</xdr:row>
      <xdr:rowOff>57150</xdr:rowOff>
    </xdr:to>
    <xdr:sp>
      <xdr:nvSpPr>
        <xdr:cNvPr id="75" name="Line 99"/>
        <xdr:cNvSpPr>
          <a:spLocks/>
        </xdr:cNvSpPr>
      </xdr:nvSpPr>
      <xdr:spPr>
        <a:xfrm flipH="1">
          <a:off x="3076575" y="17268825"/>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933450</xdr:colOff>
      <xdr:row>189</xdr:row>
      <xdr:rowOff>66675</xdr:rowOff>
    </xdr:from>
    <xdr:ext cx="1133475" cy="333375"/>
    <xdr:sp>
      <xdr:nvSpPr>
        <xdr:cNvPr id="76" name="TextBox 100"/>
        <xdr:cNvSpPr txBox="1">
          <a:spLocks noChangeArrowheads="1"/>
        </xdr:cNvSpPr>
      </xdr:nvSpPr>
      <xdr:spPr>
        <a:xfrm>
          <a:off x="4257675" y="17849850"/>
          <a:ext cx="11334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UPDATE PRODUCTION SCHEDULE</a:t>
          </a:r>
        </a:p>
      </xdr:txBody>
    </xdr:sp>
    <xdr:clientData/>
  </xdr:oneCellAnchor>
  <xdr:oneCellAnchor>
    <xdr:from>
      <xdr:col>4</xdr:col>
      <xdr:colOff>933450</xdr:colOff>
      <xdr:row>194</xdr:row>
      <xdr:rowOff>114300</xdr:rowOff>
    </xdr:from>
    <xdr:ext cx="1133475" cy="333375"/>
    <xdr:sp>
      <xdr:nvSpPr>
        <xdr:cNvPr id="77" name="TextBox 101"/>
        <xdr:cNvSpPr txBox="1">
          <a:spLocks noChangeArrowheads="1"/>
        </xdr:cNvSpPr>
      </xdr:nvSpPr>
      <xdr:spPr>
        <a:xfrm>
          <a:off x="4257675" y="18611850"/>
          <a:ext cx="11334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BUILD ORDERED
ITEMS</a:t>
          </a:r>
        </a:p>
      </xdr:txBody>
    </xdr:sp>
    <xdr:clientData/>
  </xdr:oneCellAnchor>
  <xdr:twoCellAnchor>
    <xdr:from>
      <xdr:col>5</xdr:col>
      <xdr:colOff>542925</xdr:colOff>
      <xdr:row>191</xdr:row>
      <xdr:rowOff>95250</xdr:rowOff>
    </xdr:from>
    <xdr:to>
      <xdr:col>5</xdr:col>
      <xdr:colOff>542925</xdr:colOff>
      <xdr:row>194</xdr:row>
      <xdr:rowOff>95250</xdr:rowOff>
    </xdr:to>
    <xdr:sp>
      <xdr:nvSpPr>
        <xdr:cNvPr id="78" name="Line 102"/>
        <xdr:cNvSpPr>
          <a:spLocks/>
        </xdr:cNvSpPr>
      </xdr:nvSpPr>
      <xdr:spPr>
        <a:xfrm>
          <a:off x="4800600" y="1816417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186</xdr:row>
      <xdr:rowOff>66675</xdr:rowOff>
    </xdr:from>
    <xdr:to>
      <xdr:col>5</xdr:col>
      <xdr:colOff>514350</xdr:colOff>
      <xdr:row>189</xdr:row>
      <xdr:rowOff>66675</xdr:rowOff>
    </xdr:to>
    <xdr:sp>
      <xdr:nvSpPr>
        <xdr:cNvPr id="79" name="Line 103"/>
        <xdr:cNvSpPr>
          <a:spLocks/>
        </xdr:cNvSpPr>
      </xdr:nvSpPr>
      <xdr:spPr>
        <a:xfrm>
          <a:off x="4772025" y="174212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609600</xdr:colOff>
      <xdr:row>194</xdr:row>
      <xdr:rowOff>104775</xdr:rowOff>
    </xdr:from>
    <xdr:ext cx="1133475" cy="333375"/>
    <xdr:sp>
      <xdr:nvSpPr>
        <xdr:cNvPr id="80" name="TextBox 104"/>
        <xdr:cNvSpPr txBox="1">
          <a:spLocks noChangeArrowheads="1"/>
        </xdr:cNvSpPr>
      </xdr:nvSpPr>
      <xdr:spPr>
        <a:xfrm>
          <a:off x="1943100" y="18602325"/>
          <a:ext cx="11334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RECEIVE WIP
UPDATE</a:t>
          </a:r>
        </a:p>
      </xdr:txBody>
    </xdr:sp>
    <xdr:clientData/>
  </xdr:oneCellAnchor>
  <xdr:twoCellAnchor>
    <xdr:from>
      <xdr:col>3</xdr:col>
      <xdr:colOff>1123950</xdr:colOff>
      <xdr:row>195</xdr:row>
      <xdr:rowOff>133350</xdr:rowOff>
    </xdr:from>
    <xdr:to>
      <xdr:col>5</xdr:col>
      <xdr:colOff>0</xdr:colOff>
      <xdr:row>195</xdr:row>
      <xdr:rowOff>133350</xdr:rowOff>
    </xdr:to>
    <xdr:sp>
      <xdr:nvSpPr>
        <xdr:cNvPr id="81" name="Line 105"/>
        <xdr:cNvSpPr>
          <a:spLocks/>
        </xdr:cNvSpPr>
      </xdr:nvSpPr>
      <xdr:spPr>
        <a:xfrm flipH="1">
          <a:off x="3067050" y="18773775"/>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609600</xdr:colOff>
      <xdr:row>173</xdr:row>
      <xdr:rowOff>85725</xdr:rowOff>
    </xdr:from>
    <xdr:ext cx="1200150" cy="457200"/>
    <xdr:sp>
      <xdr:nvSpPr>
        <xdr:cNvPr id="82" name="TextBox 106"/>
        <xdr:cNvSpPr txBox="1">
          <a:spLocks noChangeArrowheads="1"/>
        </xdr:cNvSpPr>
      </xdr:nvSpPr>
      <xdr:spPr>
        <a:xfrm>
          <a:off x="1943100" y="15582900"/>
          <a:ext cx="1200150" cy="4572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GENERATE NEW PURCHASE ORDER (PO) (BASED ON RFQ)</a:t>
          </a:r>
        </a:p>
      </xdr:txBody>
    </xdr:sp>
    <xdr:clientData/>
  </xdr:oneCellAnchor>
  <xdr:oneCellAnchor>
    <xdr:from>
      <xdr:col>2</xdr:col>
      <xdr:colOff>609600</xdr:colOff>
      <xdr:row>189</xdr:row>
      <xdr:rowOff>104775</xdr:rowOff>
    </xdr:from>
    <xdr:ext cx="1133475" cy="333375"/>
    <xdr:sp>
      <xdr:nvSpPr>
        <xdr:cNvPr id="83" name="TextBox 107"/>
        <xdr:cNvSpPr txBox="1">
          <a:spLocks noChangeArrowheads="1"/>
        </xdr:cNvSpPr>
      </xdr:nvSpPr>
      <xdr:spPr>
        <a:xfrm>
          <a:off x="1943100" y="17887950"/>
          <a:ext cx="11334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RECEIVE UPDATED 
ORDER STATUS</a:t>
          </a:r>
        </a:p>
      </xdr:txBody>
    </xdr:sp>
    <xdr:clientData/>
  </xdr:oneCellAnchor>
  <xdr:twoCellAnchor>
    <xdr:from>
      <xdr:col>3</xdr:col>
      <xdr:colOff>1114425</xdr:colOff>
      <xdr:row>190</xdr:row>
      <xdr:rowOff>133350</xdr:rowOff>
    </xdr:from>
    <xdr:to>
      <xdr:col>5</xdr:col>
      <xdr:colOff>0</xdr:colOff>
      <xdr:row>190</xdr:row>
      <xdr:rowOff>133350</xdr:rowOff>
    </xdr:to>
    <xdr:sp>
      <xdr:nvSpPr>
        <xdr:cNvPr id="84" name="Line 108"/>
        <xdr:cNvSpPr>
          <a:spLocks/>
        </xdr:cNvSpPr>
      </xdr:nvSpPr>
      <xdr:spPr>
        <a:xfrm flipH="1">
          <a:off x="3057525" y="18059400"/>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609600</xdr:colOff>
      <xdr:row>212</xdr:row>
      <xdr:rowOff>9525</xdr:rowOff>
    </xdr:from>
    <xdr:ext cx="1171575" cy="342900"/>
    <xdr:sp>
      <xdr:nvSpPr>
        <xdr:cNvPr id="85" name="TextBox 109"/>
        <xdr:cNvSpPr txBox="1">
          <a:spLocks noChangeArrowheads="1"/>
        </xdr:cNvSpPr>
      </xdr:nvSpPr>
      <xdr:spPr>
        <a:xfrm>
          <a:off x="1943100" y="21135975"/>
          <a:ext cx="1171575" cy="342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GENERATE PO CHANGE or CANCEL REQUEST</a:t>
          </a:r>
        </a:p>
      </xdr:txBody>
    </xdr:sp>
    <xdr:clientData/>
  </xdr:oneCellAnchor>
  <xdr:oneCellAnchor>
    <xdr:from>
      <xdr:col>4</xdr:col>
      <xdr:colOff>933450</xdr:colOff>
      <xdr:row>212</xdr:row>
      <xdr:rowOff>9525</xdr:rowOff>
    </xdr:from>
    <xdr:ext cx="1171575" cy="342900"/>
    <xdr:sp>
      <xdr:nvSpPr>
        <xdr:cNvPr id="86" name="TextBox 110"/>
        <xdr:cNvSpPr txBox="1">
          <a:spLocks noChangeArrowheads="1"/>
        </xdr:cNvSpPr>
      </xdr:nvSpPr>
      <xdr:spPr>
        <a:xfrm>
          <a:off x="4257675" y="21135975"/>
          <a:ext cx="1171575" cy="342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RECEIVE PO CHANGE or CANCEL REQUEST</a:t>
          </a:r>
        </a:p>
      </xdr:txBody>
    </xdr:sp>
    <xdr:clientData/>
  </xdr:oneCellAnchor>
  <xdr:twoCellAnchor>
    <xdr:from>
      <xdr:col>3</xdr:col>
      <xdr:colOff>1171575</xdr:colOff>
      <xdr:row>213</xdr:row>
      <xdr:rowOff>57150</xdr:rowOff>
    </xdr:from>
    <xdr:to>
      <xdr:col>5</xdr:col>
      <xdr:colOff>0</xdr:colOff>
      <xdr:row>213</xdr:row>
      <xdr:rowOff>57150</xdr:rowOff>
    </xdr:to>
    <xdr:sp>
      <xdr:nvSpPr>
        <xdr:cNvPr id="87" name="Line 111"/>
        <xdr:cNvSpPr>
          <a:spLocks/>
        </xdr:cNvSpPr>
      </xdr:nvSpPr>
      <xdr:spPr>
        <a:xfrm>
          <a:off x="3114675" y="21326475"/>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933450</xdr:colOff>
      <xdr:row>217</xdr:row>
      <xdr:rowOff>133350</xdr:rowOff>
    </xdr:from>
    <xdr:ext cx="1171575" cy="428625"/>
    <xdr:sp>
      <xdr:nvSpPr>
        <xdr:cNvPr id="88" name="TextBox 113"/>
        <xdr:cNvSpPr txBox="1">
          <a:spLocks noChangeArrowheads="1"/>
        </xdr:cNvSpPr>
      </xdr:nvSpPr>
      <xdr:spPr>
        <a:xfrm>
          <a:off x="4257675" y="21974175"/>
          <a:ext cx="1171575" cy="42862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CHECK ABILITY TO ACCOMMODATE  REQUEST</a:t>
          </a:r>
        </a:p>
      </xdr:txBody>
    </xdr:sp>
    <xdr:clientData/>
  </xdr:oneCellAnchor>
  <xdr:twoCellAnchor>
    <xdr:from>
      <xdr:col>5</xdr:col>
      <xdr:colOff>390525</xdr:colOff>
      <xdr:row>214</xdr:row>
      <xdr:rowOff>76200</xdr:rowOff>
    </xdr:from>
    <xdr:to>
      <xdr:col>5</xdr:col>
      <xdr:colOff>390525</xdr:colOff>
      <xdr:row>217</xdr:row>
      <xdr:rowOff>133350</xdr:rowOff>
    </xdr:to>
    <xdr:sp>
      <xdr:nvSpPr>
        <xdr:cNvPr id="89" name="Line 114"/>
        <xdr:cNvSpPr>
          <a:spLocks/>
        </xdr:cNvSpPr>
      </xdr:nvSpPr>
      <xdr:spPr>
        <a:xfrm>
          <a:off x="4648200" y="2148840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933450</xdr:colOff>
      <xdr:row>224</xdr:row>
      <xdr:rowOff>66675</xdr:rowOff>
    </xdr:from>
    <xdr:ext cx="1171575" cy="333375"/>
    <xdr:sp>
      <xdr:nvSpPr>
        <xdr:cNvPr id="90" name="TextBox 115"/>
        <xdr:cNvSpPr txBox="1">
          <a:spLocks noChangeArrowheads="1"/>
        </xdr:cNvSpPr>
      </xdr:nvSpPr>
      <xdr:spPr>
        <a:xfrm>
          <a:off x="4257675" y="22907625"/>
          <a:ext cx="11715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DECIDE: ACCEPT / REJECT  REQUEST</a:t>
          </a:r>
        </a:p>
      </xdr:txBody>
    </xdr:sp>
    <xdr:clientData/>
  </xdr:oneCellAnchor>
  <xdr:twoCellAnchor>
    <xdr:from>
      <xdr:col>5</xdr:col>
      <xdr:colOff>390525</xdr:colOff>
      <xdr:row>220</xdr:row>
      <xdr:rowOff>133350</xdr:rowOff>
    </xdr:from>
    <xdr:to>
      <xdr:col>5</xdr:col>
      <xdr:colOff>390525</xdr:colOff>
      <xdr:row>224</xdr:row>
      <xdr:rowOff>57150</xdr:rowOff>
    </xdr:to>
    <xdr:sp>
      <xdr:nvSpPr>
        <xdr:cNvPr id="91" name="Line 116"/>
        <xdr:cNvSpPr>
          <a:spLocks/>
        </xdr:cNvSpPr>
      </xdr:nvSpPr>
      <xdr:spPr>
        <a:xfrm>
          <a:off x="4648200" y="22402800"/>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609600</xdr:colOff>
      <xdr:row>224</xdr:row>
      <xdr:rowOff>38100</xdr:rowOff>
    </xdr:from>
    <xdr:ext cx="1171575" cy="428625"/>
    <xdr:sp>
      <xdr:nvSpPr>
        <xdr:cNvPr id="92" name="TextBox 117"/>
        <xdr:cNvSpPr txBox="1">
          <a:spLocks noChangeArrowheads="1"/>
        </xdr:cNvSpPr>
      </xdr:nvSpPr>
      <xdr:spPr>
        <a:xfrm>
          <a:off x="1943100" y="22879050"/>
          <a:ext cx="1171575" cy="42862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RECEIVE RESPONSE: REQUEST ACCEPTED / REJECTED</a:t>
          </a:r>
        </a:p>
      </xdr:txBody>
    </xdr:sp>
    <xdr:clientData/>
  </xdr:oneCellAnchor>
  <xdr:twoCellAnchor>
    <xdr:from>
      <xdr:col>3</xdr:col>
      <xdr:colOff>1162050</xdr:colOff>
      <xdr:row>225</xdr:row>
      <xdr:rowOff>133350</xdr:rowOff>
    </xdr:from>
    <xdr:to>
      <xdr:col>5</xdr:col>
      <xdr:colOff>0</xdr:colOff>
      <xdr:row>225</xdr:row>
      <xdr:rowOff>133350</xdr:rowOff>
    </xdr:to>
    <xdr:sp>
      <xdr:nvSpPr>
        <xdr:cNvPr id="93" name="Line 118"/>
        <xdr:cNvSpPr>
          <a:spLocks/>
        </xdr:cNvSpPr>
      </xdr:nvSpPr>
      <xdr:spPr>
        <a:xfrm flipH="1">
          <a:off x="3105150" y="2311717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245</xdr:row>
      <xdr:rowOff>0</xdr:rowOff>
    </xdr:from>
    <xdr:to>
      <xdr:col>5</xdr:col>
      <xdr:colOff>533400</xdr:colOff>
      <xdr:row>248</xdr:row>
      <xdr:rowOff>0</xdr:rowOff>
    </xdr:to>
    <xdr:sp>
      <xdr:nvSpPr>
        <xdr:cNvPr id="94" name="Line 130"/>
        <xdr:cNvSpPr>
          <a:spLocks/>
        </xdr:cNvSpPr>
      </xdr:nvSpPr>
      <xdr:spPr>
        <a:xfrm>
          <a:off x="4791075" y="2593657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292</xdr:row>
      <xdr:rowOff>0</xdr:rowOff>
    </xdr:from>
    <xdr:to>
      <xdr:col>6</xdr:col>
      <xdr:colOff>180975</xdr:colOff>
      <xdr:row>292</xdr:row>
      <xdr:rowOff>0</xdr:rowOff>
    </xdr:to>
    <xdr:sp>
      <xdr:nvSpPr>
        <xdr:cNvPr id="95" name="Line 131"/>
        <xdr:cNvSpPr>
          <a:spLocks/>
        </xdr:cNvSpPr>
      </xdr:nvSpPr>
      <xdr:spPr>
        <a:xfrm>
          <a:off x="5934075" y="3270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292</xdr:row>
      <xdr:rowOff>0</xdr:rowOff>
    </xdr:from>
    <xdr:to>
      <xdr:col>6</xdr:col>
      <xdr:colOff>276225</xdr:colOff>
      <xdr:row>292</xdr:row>
      <xdr:rowOff>0</xdr:rowOff>
    </xdr:to>
    <xdr:sp>
      <xdr:nvSpPr>
        <xdr:cNvPr id="96" name="Line 132"/>
        <xdr:cNvSpPr>
          <a:spLocks/>
        </xdr:cNvSpPr>
      </xdr:nvSpPr>
      <xdr:spPr>
        <a:xfrm>
          <a:off x="6029325" y="327088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292</xdr:row>
      <xdr:rowOff>0</xdr:rowOff>
    </xdr:from>
    <xdr:to>
      <xdr:col>5</xdr:col>
      <xdr:colOff>295275</xdr:colOff>
      <xdr:row>292</xdr:row>
      <xdr:rowOff>0</xdr:rowOff>
    </xdr:to>
    <xdr:sp>
      <xdr:nvSpPr>
        <xdr:cNvPr id="97" name="Line 133"/>
        <xdr:cNvSpPr>
          <a:spLocks/>
        </xdr:cNvSpPr>
      </xdr:nvSpPr>
      <xdr:spPr>
        <a:xfrm>
          <a:off x="4552950" y="3270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292</xdr:row>
      <xdr:rowOff>0</xdr:rowOff>
    </xdr:from>
    <xdr:to>
      <xdr:col>4</xdr:col>
      <xdr:colOff>457200</xdr:colOff>
      <xdr:row>292</xdr:row>
      <xdr:rowOff>0</xdr:rowOff>
    </xdr:to>
    <xdr:sp>
      <xdr:nvSpPr>
        <xdr:cNvPr id="98" name="Line 134"/>
        <xdr:cNvSpPr>
          <a:spLocks/>
        </xdr:cNvSpPr>
      </xdr:nvSpPr>
      <xdr:spPr>
        <a:xfrm>
          <a:off x="3781425" y="327088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933450</xdr:colOff>
      <xdr:row>242</xdr:row>
      <xdr:rowOff>66675</xdr:rowOff>
    </xdr:from>
    <xdr:ext cx="1076325" cy="333375"/>
    <xdr:sp>
      <xdr:nvSpPr>
        <xdr:cNvPr id="99" name="TextBox 135"/>
        <xdr:cNvSpPr txBox="1">
          <a:spLocks noChangeArrowheads="1"/>
        </xdr:cNvSpPr>
      </xdr:nvSpPr>
      <xdr:spPr>
        <a:xfrm>
          <a:off x="4257675" y="25574625"/>
          <a:ext cx="107632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3PL RECEIVES SHIPMENT REQUEST</a:t>
          </a:r>
        </a:p>
      </xdr:txBody>
    </xdr:sp>
    <xdr:clientData/>
  </xdr:oneCellAnchor>
  <xdr:twoCellAnchor>
    <xdr:from>
      <xdr:col>3</xdr:col>
      <xdr:colOff>1181100</xdr:colOff>
      <xdr:row>239</xdr:row>
      <xdr:rowOff>47625</xdr:rowOff>
    </xdr:from>
    <xdr:to>
      <xdr:col>5</xdr:col>
      <xdr:colOff>504825</xdr:colOff>
      <xdr:row>239</xdr:row>
      <xdr:rowOff>47625</xdr:rowOff>
    </xdr:to>
    <xdr:sp>
      <xdr:nvSpPr>
        <xdr:cNvPr id="100" name="Line 136"/>
        <xdr:cNvSpPr>
          <a:spLocks/>
        </xdr:cNvSpPr>
      </xdr:nvSpPr>
      <xdr:spPr>
        <a:xfrm>
          <a:off x="3124200" y="25126950"/>
          <a:ext cx="163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239</xdr:row>
      <xdr:rowOff>47625</xdr:rowOff>
    </xdr:from>
    <xdr:to>
      <xdr:col>5</xdr:col>
      <xdr:colOff>523875</xdr:colOff>
      <xdr:row>242</xdr:row>
      <xdr:rowOff>57150</xdr:rowOff>
    </xdr:to>
    <xdr:sp>
      <xdr:nvSpPr>
        <xdr:cNvPr id="101" name="Line 137"/>
        <xdr:cNvSpPr>
          <a:spLocks/>
        </xdr:cNvSpPr>
      </xdr:nvSpPr>
      <xdr:spPr>
        <a:xfrm>
          <a:off x="4781550" y="2512695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248</xdr:row>
      <xdr:rowOff>38100</xdr:rowOff>
    </xdr:from>
    <xdr:ext cx="1266825" cy="333375"/>
    <xdr:sp>
      <xdr:nvSpPr>
        <xdr:cNvPr id="102" name="TextBox 138"/>
        <xdr:cNvSpPr txBox="1">
          <a:spLocks noChangeArrowheads="1"/>
        </xdr:cNvSpPr>
      </xdr:nvSpPr>
      <xdr:spPr>
        <a:xfrm>
          <a:off x="4257675" y="26403300"/>
          <a:ext cx="126682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VERIFY TERMS; SEND ACKNOWLEDGEMENT</a:t>
          </a:r>
        </a:p>
      </xdr:txBody>
    </xdr:sp>
    <xdr:clientData/>
  </xdr:oneCellAnchor>
  <xdr:oneCellAnchor>
    <xdr:from>
      <xdr:col>2</xdr:col>
      <xdr:colOff>609600</xdr:colOff>
      <xdr:row>248</xdr:row>
      <xdr:rowOff>28575</xdr:rowOff>
    </xdr:from>
    <xdr:ext cx="1133475" cy="333375"/>
    <xdr:sp>
      <xdr:nvSpPr>
        <xdr:cNvPr id="103" name="TextBox 139"/>
        <xdr:cNvSpPr txBox="1">
          <a:spLocks noChangeArrowheads="1"/>
        </xdr:cNvSpPr>
      </xdr:nvSpPr>
      <xdr:spPr>
        <a:xfrm>
          <a:off x="1943100" y="26393775"/>
          <a:ext cx="11334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RECEIVE
ACKNOWLEDGEMENT</a:t>
          </a:r>
        </a:p>
      </xdr:txBody>
    </xdr:sp>
    <xdr:clientData/>
  </xdr:oneCellAnchor>
  <xdr:twoCellAnchor>
    <xdr:from>
      <xdr:col>3</xdr:col>
      <xdr:colOff>1133475</xdr:colOff>
      <xdr:row>249</xdr:row>
      <xdr:rowOff>57150</xdr:rowOff>
    </xdr:from>
    <xdr:to>
      <xdr:col>4</xdr:col>
      <xdr:colOff>923925</xdr:colOff>
      <xdr:row>249</xdr:row>
      <xdr:rowOff>57150</xdr:rowOff>
    </xdr:to>
    <xdr:sp>
      <xdr:nvSpPr>
        <xdr:cNvPr id="104" name="Line 140"/>
        <xdr:cNvSpPr>
          <a:spLocks/>
        </xdr:cNvSpPr>
      </xdr:nvSpPr>
      <xdr:spPr>
        <a:xfrm flipH="1">
          <a:off x="3076575" y="26565225"/>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933450</xdr:colOff>
      <xdr:row>253</xdr:row>
      <xdr:rowOff>66675</xdr:rowOff>
    </xdr:from>
    <xdr:ext cx="1133475" cy="333375"/>
    <xdr:sp>
      <xdr:nvSpPr>
        <xdr:cNvPr id="105" name="TextBox 141"/>
        <xdr:cNvSpPr txBox="1">
          <a:spLocks noChangeArrowheads="1"/>
        </xdr:cNvSpPr>
      </xdr:nvSpPr>
      <xdr:spPr>
        <a:xfrm>
          <a:off x="4257675" y="27146250"/>
          <a:ext cx="11334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UPDATE SHIPMENT PLAN</a:t>
          </a:r>
        </a:p>
      </xdr:txBody>
    </xdr:sp>
    <xdr:clientData/>
  </xdr:oneCellAnchor>
  <xdr:oneCellAnchor>
    <xdr:from>
      <xdr:col>4</xdr:col>
      <xdr:colOff>933450</xdr:colOff>
      <xdr:row>258</xdr:row>
      <xdr:rowOff>114300</xdr:rowOff>
    </xdr:from>
    <xdr:ext cx="1133475" cy="333375"/>
    <xdr:sp>
      <xdr:nvSpPr>
        <xdr:cNvPr id="106" name="TextBox 142"/>
        <xdr:cNvSpPr txBox="1">
          <a:spLocks noChangeArrowheads="1"/>
        </xdr:cNvSpPr>
      </xdr:nvSpPr>
      <xdr:spPr>
        <a:xfrm>
          <a:off x="4257675" y="27908250"/>
          <a:ext cx="11334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SHIP ORDER TO CUSTOMER SITE</a:t>
          </a:r>
        </a:p>
      </xdr:txBody>
    </xdr:sp>
    <xdr:clientData/>
  </xdr:oneCellAnchor>
  <xdr:twoCellAnchor>
    <xdr:from>
      <xdr:col>5</xdr:col>
      <xdr:colOff>542925</xdr:colOff>
      <xdr:row>255</xdr:row>
      <xdr:rowOff>95250</xdr:rowOff>
    </xdr:from>
    <xdr:to>
      <xdr:col>5</xdr:col>
      <xdr:colOff>542925</xdr:colOff>
      <xdr:row>258</xdr:row>
      <xdr:rowOff>95250</xdr:rowOff>
    </xdr:to>
    <xdr:sp>
      <xdr:nvSpPr>
        <xdr:cNvPr id="107" name="Line 143"/>
        <xdr:cNvSpPr>
          <a:spLocks/>
        </xdr:cNvSpPr>
      </xdr:nvSpPr>
      <xdr:spPr>
        <a:xfrm>
          <a:off x="4800600" y="2746057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250</xdr:row>
      <xdr:rowOff>66675</xdr:rowOff>
    </xdr:from>
    <xdr:to>
      <xdr:col>5</xdr:col>
      <xdr:colOff>514350</xdr:colOff>
      <xdr:row>253</xdr:row>
      <xdr:rowOff>66675</xdr:rowOff>
    </xdr:to>
    <xdr:sp>
      <xdr:nvSpPr>
        <xdr:cNvPr id="108" name="Line 144"/>
        <xdr:cNvSpPr>
          <a:spLocks/>
        </xdr:cNvSpPr>
      </xdr:nvSpPr>
      <xdr:spPr>
        <a:xfrm>
          <a:off x="4772025" y="267176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609600</xdr:colOff>
      <xdr:row>258</xdr:row>
      <xdr:rowOff>104775</xdr:rowOff>
    </xdr:from>
    <xdr:ext cx="1133475" cy="333375"/>
    <xdr:sp>
      <xdr:nvSpPr>
        <xdr:cNvPr id="109" name="TextBox 145"/>
        <xdr:cNvSpPr txBox="1">
          <a:spLocks noChangeArrowheads="1"/>
        </xdr:cNvSpPr>
      </xdr:nvSpPr>
      <xdr:spPr>
        <a:xfrm>
          <a:off x="1943100" y="27898725"/>
          <a:ext cx="11334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RECEIVE ASN / SHIP CONFIRMATION</a:t>
          </a:r>
        </a:p>
      </xdr:txBody>
    </xdr:sp>
    <xdr:clientData/>
  </xdr:oneCellAnchor>
  <xdr:twoCellAnchor>
    <xdr:from>
      <xdr:col>3</xdr:col>
      <xdr:colOff>1123950</xdr:colOff>
      <xdr:row>259</xdr:row>
      <xdr:rowOff>133350</xdr:rowOff>
    </xdr:from>
    <xdr:to>
      <xdr:col>5</xdr:col>
      <xdr:colOff>0</xdr:colOff>
      <xdr:row>259</xdr:row>
      <xdr:rowOff>133350</xdr:rowOff>
    </xdr:to>
    <xdr:sp>
      <xdr:nvSpPr>
        <xdr:cNvPr id="110" name="Line 146"/>
        <xdr:cNvSpPr>
          <a:spLocks/>
        </xdr:cNvSpPr>
      </xdr:nvSpPr>
      <xdr:spPr>
        <a:xfrm flipH="1">
          <a:off x="3067050" y="28070175"/>
          <a:ext cx="11906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428625</xdr:colOff>
      <xdr:row>237</xdr:row>
      <xdr:rowOff>85725</xdr:rowOff>
    </xdr:from>
    <xdr:ext cx="1381125" cy="457200"/>
    <xdr:sp>
      <xdr:nvSpPr>
        <xdr:cNvPr id="111" name="TextBox 147"/>
        <xdr:cNvSpPr txBox="1">
          <a:spLocks noChangeArrowheads="1"/>
        </xdr:cNvSpPr>
      </xdr:nvSpPr>
      <xdr:spPr>
        <a:xfrm>
          <a:off x="1762125" y="24879300"/>
          <a:ext cx="1381125" cy="4572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GENERATE NEW SHIPMENT PICKUP NOTICE / SHIPMENT PLAN</a:t>
          </a:r>
        </a:p>
      </xdr:txBody>
    </xdr:sp>
    <xdr:clientData/>
  </xdr:oneCellAnchor>
  <xdr:oneCellAnchor>
    <xdr:from>
      <xdr:col>2</xdr:col>
      <xdr:colOff>438150</xdr:colOff>
      <xdr:row>253</xdr:row>
      <xdr:rowOff>104775</xdr:rowOff>
    </xdr:from>
    <xdr:ext cx="1304925" cy="333375"/>
    <xdr:sp>
      <xdr:nvSpPr>
        <xdr:cNvPr id="112" name="TextBox 148"/>
        <xdr:cNvSpPr txBox="1">
          <a:spLocks noChangeArrowheads="1"/>
        </xdr:cNvSpPr>
      </xdr:nvSpPr>
      <xdr:spPr>
        <a:xfrm>
          <a:off x="1771650" y="27184350"/>
          <a:ext cx="130492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QUERY / RECEIVE UPDATED SHIP STATUS</a:t>
          </a:r>
        </a:p>
      </xdr:txBody>
    </xdr:sp>
    <xdr:clientData/>
  </xdr:oneCellAnchor>
  <xdr:twoCellAnchor>
    <xdr:from>
      <xdr:col>3</xdr:col>
      <xdr:colOff>1114425</xdr:colOff>
      <xdr:row>254</xdr:row>
      <xdr:rowOff>133350</xdr:rowOff>
    </xdr:from>
    <xdr:to>
      <xdr:col>5</xdr:col>
      <xdr:colOff>0</xdr:colOff>
      <xdr:row>254</xdr:row>
      <xdr:rowOff>133350</xdr:rowOff>
    </xdr:to>
    <xdr:sp>
      <xdr:nvSpPr>
        <xdr:cNvPr id="113" name="Line 149"/>
        <xdr:cNvSpPr>
          <a:spLocks/>
        </xdr:cNvSpPr>
      </xdr:nvSpPr>
      <xdr:spPr>
        <a:xfrm flipH="1">
          <a:off x="3057525" y="27355800"/>
          <a:ext cx="1200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276</xdr:row>
      <xdr:rowOff>9525</xdr:rowOff>
    </xdr:from>
    <xdr:ext cx="1171575" cy="466725"/>
    <xdr:sp>
      <xdr:nvSpPr>
        <xdr:cNvPr id="114" name="TextBox 150"/>
        <xdr:cNvSpPr txBox="1">
          <a:spLocks noChangeArrowheads="1"/>
        </xdr:cNvSpPr>
      </xdr:nvSpPr>
      <xdr:spPr>
        <a:xfrm>
          <a:off x="1943100" y="30432375"/>
          <a:ext cx="1171575" cy="46672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GENERATE SHIPPING ORDER CHANGE or CANCEL REQUEST</a:t>
          </a:r>
        </a:p>
      </xdr:txBody>
    </xdr:sp>
    <xdr:clientData/>
  </xdr:oneCellAnchor>
  <xdr:oneCellAnchor>
    <xdr:from>
      <xdr:col>5</xdr:col>
      <xdr:colOff>0</xdr:colOff>
      <xdr:row>276</xdr:row>
      <xdr:rowOff>9525</xdr:rowOff>
    </xdr:from>
    <xdr:ext cx="1666875" cy="342900"/>
    <xdr:sp>
      <xdr:nvSpPr>
        <xdr:cNvPr id="115" name="TextBox 151"/>
        <xdr:cNvSpPr txBox="1">
          <a:spLocks noChangeArrowheads="1"/>
        </xdr:cNvSpPr>
      </xdr:nvSpPr>
      <xdr:spPr>
        <a:xfrm>
          <a:off x="4257675" y="30432375"/>
          <a:ext cx="1666875" cy="342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RECEIVE SHIPPING ORDER CHANGE or CANCEL REQUEST</a:t>
          </a:r>
        </a:p>
      </xdr:txBody>
    </xdr:sp>
    <xdr:clientData/>
  </xdr:oneCellAnchor>
  <xdr:twoCellAnchor>
    <xdr:from>
      <xdr:col>3</xdr:col>
      <xdr:colOff>1171575</xdr:colOff>
      <xdr:row>277</xdr:row>
      <xdr:rowOff>57150</xdr:rowOff>
    </xdr:from>
    <xdr:to>
      <xdr:col>5</xdr:col>
      <xdr:colOff>0</xdr:colOff>
      <xdr:row>277</xdr:row>
      <xdr:rowOff>57150</xdr:rowOff>
    </xdr:to>
    <xdr:sp>
      <xdr:nvSpPr>
        <xdr:cNvPr id="116" name="Line 152"/>
        <xdr:cNvSpPr>
          <a:spLocks/>
        </xdr:cNvSpPr>
      </xdr:nvSpPr>
      <xdr:spPr>
        <a:xfrm>
          <a:off x="3114675" y="30622875"/>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281</xdr:row>
      <xdr:rowOff>133350</xdr:rowOff>
    </xdr:from>
    <xdr:ext cx="1666875" cy="352425"/>
    <xdr:sp>
      <xdr:nvSpPr>
        <xdr:cNvPr id="117" name="TextBox 153"/>
        <xdr:cNvSpPr txBox="1">
          <a:spLocks noChangeArrowheads="1"/>
        </xdr:cNvSpPr>
      </xdr:nvSpPr>
      <xdr:spPr>
        <a:xfrm>
          <a:off x="4257675" y="31270575"/>
          <a:ext cx="1666875" cy="35242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CHECK ABILITY TO ACCOMMODATE  REQUEST</a:t>
          </a:r>
        </a:p>
      </xdr:txBody>
    </xdr:sp>
    <xdr:clientData/>
  </xdr:oneCellAnchor>
  <xdr:twoCellAnchor>
    <xdr:from>
      <xdr:col>5</xdr:col>
      <xdr:colOff>390525</xdr:colOff>
      <xdr:row>278</xdr:row>
      <xdr:rowOff>76200</xdr:rowOff>
    </xdr:from>
    <xdr:to>
      <xdr:col>5</xdr:col>
      <xdr:colOff>390525</xdr:colOff>
      <xdr:row>281</xdr:row>
      <xdr:rowOff>133350</xdr:rowOff>
    </xdr:to>
    <xdr:sp>
      <xdr:nvSpPr>
        <xdr:cNvPr id="118" name="Line 154"/>
        <xdr:cNvSpPr>
          <a:spLocks/>
        </xdr:cNvSpPr>
      </xdr:nvSpPr>
      <xdr:spPr>
        <a:xfrm>
          <a:off x="4648200" y="3078480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288</xdr:row>
      <xdr:rowOff>66675</xdr:rowOff>
    </xdr:from>
    <xdr:ext cx="1704975" cy="333375"/>
    <xdr:sp>
      <xdr:nvSpPr>
        <xdr:cNvPr id="119" name="TextBox 155"/>
        <xdr:cNvSpPr txBox="1">
          <a:spLocks noChangeArrowheads="1"/>
        </xdr:cNvSpPr>
      </xdr:nvSpPr>
      <xdr:spPr>
        <a:xfrm>
          <a:off x="4257675" y="32204025"/>
          <a:ext cx="17049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DECIDE: ACCEPT / REJECT  REQUEST</a:t>
          </a:r>
        </a:p>
      </xdr:txBody>
    </xdr:sp>
    <xdr:clientData/>
  </xdr:oneCellAnchor>
  <xdr:twoCellAnchor>
    <xdr:from>
      <xdr:col>5</xdr:col>
      <xdr:colOff>390525</xdr:colOff>
      <xdr:row>284</xdr:row>
      <xdr:rowOff>38100</xdr:rowOff>
    </xdr:from>
    <xdr:to>
      <xdr:col>5</xdr:col>
      <xdr:colOff>390525</xdr:colOff>
      <xdr:row>288</xdr:row>
      <xdr:rowOff>57150</xdr:rowOff>
    </xdr:to>
    <xdr:sp>
      <xdr:nvSpPr>
        <xdr:cNvPr id="120" name="Line 156"/>
        <xdr:cNvSpPr>
          <a:spLocks/>
        </xdr:cNvSpPr>
      </xdr:nvSpPr>
      <xdr:spPr>
        <a:xfrm>
          <a:off x="4648200" y="316039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609600</xdr:colOff>
      <xdr:row>288</xdr:row>
      <xdr:rowOff>38100</xdr:rowOff>
    </xdr:from>
    <xdr:ext cx="1171575" cy="428625"/>
    <xdr:sp>
      <xdr:nvSpPr>
        <xdr:cNvPr id="121" name="TextBox 157"/>
        <xdr:cNvSpPr txBox="1">
          <a:spLocks noChangeArrowheads="1"/>
        </xdr:cNvSpPr>
      </xdr:nvSpPr>
      <xdr:spPr>
        <a:xfrm>
          <a:off x="1943100" y="32175450"/>
          <a:ext cx="1171575" cy="42862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RECEIVE RESPONSE: REQUEST ACCEPTED / REJECTED</a:t>
          </a:r>
        </a:p>
      </xdr:txBody>
    </xdr:sp>
    <xdr:clientData/>
  </xdr:oneCellAnchor>
  <xdr:oneCellAnchor>
    <xdr:from>
      <xdr:col>0</xdr:col>
      <xdr:colOff>581025</xdr:colOff>
      <xdr:row>258</xdr:row>
      <xdr:rowOff>114300</xdr:rowOff>
    </xdr:from>
    <xdr:ext cx="1133475" cy="333375"/>
    <xdr:sp>
      <xdr:nvSpPr>
        <xdr:cNvPr id="122" name="TextBox 159"/>
        <xdr:cNvSpPr txBox="1">
          <a:spLocks noChangeArrowheads="1"/>
        </xdr:cNvSpPr>
      </xdr:nvSpPr>
      <xdr:spPr>
        <a:xfrm>
          <a:off x="581025" y="27908250"/>
          <a:ext cx="1133475" cy="333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RECEIVE ASN / SHIP CONFIRMATION</a:t>
          </a:r>
        </a:p>
      </xdr:txBody>
    </xdr:sp>
    <xdr:clientData/>
  </xdr:oneCellAnchor>
  <xdr:twoCellAnchor>
    <xdr:from>
      <xdr:col>1</xdr:col>
      <xdr:colOff>495300</xdr:colOff>
      <xdr:row>262</xdr:row>
      <xdr:rowOff>114300</xdr:rowOff>
    </xdr:from>
    <xdr:to>
      <xdr:col>4</xdr:col>
      <xdr:colOff>781050</xdr:colOff>
      <xdr:row>262</xdr:row>
      <xdr:rowOff>114300</xdr:rowOff>
    </xdr:to>
    <xdr:sp>
      <xdr:nvSpPr>
        <xdr:cNvPr id="123" name="Line 160"/>
        <xdr:cNvSpPr>
          <a:spLocks/>
        </xdr:cNvSpPr>
      </xdr:nvSpPr>
      <xdr:spPr>
        <a:xfrm flipV="1">
          <a:off x="1219200" y="28479750"/>
          <a:ext cx="2886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259</xdr:row>
      <xdr:rowOff>123825</xdr:rowOff>
    </xdr:from>
    <xdr:to>
      <xdr:col>4</xdr:col>
      <xdr:colOff>781050</xdr:colOff>
      <xdr:row>262</xdr:row>
      <xdr:rowOff>114300</xdr:rowOff>
    </xdr:to>
    <xdr:sp>
      <xdr:nvSpPr>
        <xdr:cNvPr id="124" name="Line 161"/>
        <xdr:cNvSpPr>
          <a:spLocks/>
        </xdr:cNvSpPr>
      </xdr:nvSpPr>
      <xdr:spPr>
        <a:xfrm flipV="1">
          <a:off x="4105275" y="2806065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260</xdr:row>
      <xdr:rowOff>133350</xdr:rowOff>
    </xdr:from>
    <xdr:to>
      <xdr:col>1</xdr:col>
      <xdr:colOff>514350</xdr:colOff>
      <xdr:row>262</xdr:row>
      <xdr:rowOff>104775</xdr:rowOff>
    </xdr:to>
    <xdr:sp>
      <xdr:nvSpPr>
        <xdr:cNvPr id="125" name="Line 162"/>
        <xdr:cNvSpPr>
          <a:spLocks/>
        </xdr:cNvSpPr>
      </xdr:nvSpPr>
      <xdr:spPr>
        <a:xfrm flipV="1">
          <a:off x="1238250" y="282130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1123950</xdr:colOff>
      <xdr:row>289</xdr:row>
      <xdr:rowOff>76200</xdr:rowOff>
    </xdr:from>
    <xdr:to>
      <xdr:col>5</xdr:col>
      <xdr:colOff>9525</xdr:colOff>
      <xdr:row>289</xdr:row>
      <xdr:rowOff>76200</xdr:rowOff>
    </xdr:to>
    <xdr:sp>
      <xdr:nvSpPr>
        <xdr:cNvPr id="126" name="Line 167"/>
        <xdr:cNvSpPr>
          <a:spLocks/>
        </xdr:cNvSpPr>
      </xdr:nvSpPr>
      <xdr:spPr>
        <a:xfrm flipH="1">
          <a:off x="3067050" y="32356425"/>
          <a:ext cx="1200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73"/>
  <sheetViews>
    <sheetView tabSelected="1" workbookViewId="0" topLeftCell="A1">
      <selection activeCell="H30" sqref="H30"/>
    </sheetView>
  </sheetViews>
  <sheetFormatPr defaultColWidth="9.140625" defaultRowHeight="12.75"/>
  <cols>
    <col min="1" max="1" width="3.28125" style="89" customWidth="1"/>
    <col min="2" max="2" width="49.00390625" style="88" customWidth="1"/>
    <col min="3" max="3" width="15.421875" style="89" bestFit="1" customWidth="1"/>
    <col min="4" max="4" width="12.140625" style="89" bestFit="1" customWidth="1"/>
    <col min="5" max="5" width="15.421875" style="89" bestFit="1" customWidth="1"/>
    <col min="6" max="6" width="12.28125" style="89" bestFit="1" customWidth="1"/>
    <col min="7" max="7" width="15.421875" style="89" bestFit="1" customWidth="1"/>
    <col min="8" max="8" width="12.28125" style="89" bestFit="1" customWidth="1"/>
    <col min="9" max="16384" width="8.8515625" style="89" customWidth="1"/>
  </cols>
  <sheetData>
    <row r="1" ht="12.75"/>
    <row r="2" spans="2:7" ht="12.75">
      <c r="B2" s="266" t="s">
        <v>202</v>
      </c>
      <c r="C2" s="239"/>
      <c r="D2" s="239"/>
      <c r="E2" s="239"/>
      <c r="F2" s="239"/>
      <c r="G2" s="239"/>
    </row>
    <row r="3" spans="2:7" ht="12.75">
      <c r="B3" s="239"/>
      <c r="C3" s="239"/>
      <c r="D3" s="239"/>
      <c r="E3" s="239"/>
      <c r="F3" s="239"/>
      <c r="G3" s="239"/>
    </row>
    <row r="4" ht="12.75"/>
    <row r="5" ht="12.75"/>
    <row r="6" ht="15.75">
      <c r="B6" s="155" t="s">
        <v>203</v>
      </c>
    </row>
    <row r="7" ht="12.75"/>
    <row r="8" ht="12.75"/>
    <row r="9" ht="12.75"/>
    <row r="10" ht="12.75">
      <c r="A10" s="87" t="s">
        <v>234</v>
      </c>
    </row>
    <row r="11" ht="13.5" thickBot="1"/>
    <row r="12" spans="2:4" ht="25.5">
      <c r="B12" s="80" t="s">
        <v>226</v>
      </c>
      <c r="C12" s="90">
        <v>0.15</v>
      </c>
      <c r="D12" s="89" t="s">
        <v>134</v>
      </c>
    </row>
    <row r="13" spans="2:4" ht="12.75">
      <c r="B13" s="91" t="s">
        <v>17</v>
      </c>
      <c r="C13" s="92">
        <v>65000</v>
      </c>
      <c r="D13" s="89" t="s">
        <v>137</v>
      </c>
    </row>
    <row r="14" spans="2:4" s="93" customFormat="1" ht="25.5">
      <c r="B14" s="82" t="s">
        <v>60</v>
      </c>
      <c r="C14" s="94">
        <v>30</v>
      </c>
      <c r="D14" s="93" t="s">
        <v>136</v>
      </c>
    </row>
    <row r="15" spans="2:4" s="93" customFormat="1" ht="12.75">
      <c r="B15" s="82" t="s">
        <v>160</v>
      </c>
      <c r="C15" s="114">
        <v>12000</v>
      </c>
      <c r="D15" s="89" t="s">
        <v>137</v>
      </c>
    </row>
    <row r="16" spans="2:4" ht="26.25" thickBot="1">
      <c r="B16" s="81" t="s">
        <v>38</v>
      </c>
      <c r="C16" s="95">
        <v>10</v>
      </c>
      <c r="D16" s="89" t="s">
        <v>133</v>
      </c>
    </row>
    <row r="17" spans="2:3" ht="12.75">
      <c r="B17" s="96"/>
      <c r="C17" s="97"/>
    </row>
    <row r="18" ht="12.75"/>
    <row r="19" ht="12.75">
      <c r="A19" s="87" t="s">
        <v>59</v>
      </c>
    </row>
    <row r="20" ht="13.5" thickBot="1">
      <c r="A20" s="87"/>
    </row>
    <row r="21" spans="2:8" ht="12.75">
      <c r="B21" s="80"/>
      <c r="C21" s="98">
        <v>2001</v>
      </c>
      <c r="D21" s="98">
        <v>2002</v>
      </c>
      <c r="E21" s="98">
        <v>2003</v>
      </c>
      <c r="F21" s="98">
        <v>2004</v>
      </c>
      <c r="G21" s="98">
        <v>2005</v>
      </c>
      <c r="H21" s="99">
        <v>2006</v>
      </c>
    </row>
    <row r="22" spans="2:8" ht="12.75">
      <c r="B22" s="82" t="s">
        <v>15</v>
      </c>
      <c r="C22" s="100">
        <v>0</v>
      </c>
      <c r="D22" s="101">
        <v>0.08</v>
      </c>
      <c r="E22" s="101">
        <v>0.08</v>
      </c>
      <c r="F22" s="101">
        <v>0.08</v>
      </c>
      <c r="G22" s="101">
        <v>0.08</v>
      </c>
      <c r="H22" s="102">
        <v>0.08</v>
      </c>
    </row>
    <row r="23" spans="2:8" ht="13.5" thickBot="1">
      <c r="B23" s="81" t="s">
        <v>130</v>
      </c>
      <c r="C23" s="103">
        <f>C13</f>
        <v>65000</v>
      </c>
      <c r="D23" s="103">
        <f>C23*(1+D22)</f>
        <v>70200</v>
      </c>
      <c r="E23" s="103">
        <f>D23*(1+E22)</f>
        <v>75816</v>
      </c>
      <c r="F23" s="103">
        <f>E23*(1+F22)</f>
        <v>81881.28</v>
      </c>
      <c r="G23" s="103">
        <f>F23*(1+G22)</f>
        <v>88431.78240000001</v>
      </c>
      <c r="H23" s="104">
        <f>G23*(1+H22)</f>
        <v>95506.32499200002</v>
      </c>
    </row>
    <row r="24" ht="13.5" thickBot="1"/>
    <row r="25" spans="2:9" ht="12.75">
      <c r="B25" s="235" t="s">
        <v>227</v>
      </c>
      <c r="C25" s="236"/>
      <c r="D25" s="236"/>
      <c r="E25" s="236"/>
      <c r="F25" s="236"/>
      <c r="G25" s="237"/>
      <c r="H25" s="165">
        <v>25000</v>
      </c>
      <c r="I25" s="89" t="s">
        <v>137</v>
      </c>
    </row>
    <row r="26" spans="2:9" s="96" customFormat="1" ht="28.5" customHeight="1">
      <c r="B26" s="240" t="s">
        <v>228</v>
      </c>
      <c r="C26" s="272"/>
      <c r="D26" s="272"/>
      <c r="E26" s="272"/>
      <c r="F26" s="272"/>
      <c r="G26" s="272"/>
      <c r="H26" s="166">
        <v>43000</v>
      </c>
      <c r="I26" s="89" t="s">
        <v>137</v>
      </c>
    </row>
    <row r="27" spans="2:9" s="93" customFormat="1" ht="13.5" customHeight="1">
      <c r="B27" s="240" t="s">
        <v>189</v>
      </c>
      <c r="C27" s="241"/>
      <c r="D27" s="241"/>
      <c r="E27" s="241"/>
      <c r="F27" s="241"/>
      <c r="G27" s="241"/>
      <c r="H27" s="167">
        <v>35000</v>
      </c>
      <c r="I27" s="89" t="s">
        <v>137</v>
      </c>
    </row>
    <row r="28" spans="2:9" ht="12.75">
      <c r="B28" s="258" t="s">
        <v>131</v>
      </c>
      <c r="C28" s="238"/>
      <c r="D28" s="238"/>
      <c r="E28" s="238"/>
      <c r="F28" s="238"/>
      <c r="G28" s="267"/>
      <c r="H28" s="168">
        <f>H26+H27</f>
        <v>78000</v>
      </c>
      <c r="I28" s="89" t="s">
        <v>137</v>
      </c>
    </row>
    <row r="29" spans="2:8" ht="13.5" thickBot="1">
      <c r="B29" s="263" t="s">
        <v>132</v>
      </c>
      <c r="C29" s="268"/>
      <c r="D29" s="268"/>
      <c r="E29" s="268"/>
      <c r="F29" s="268"/>
      <c r="G29" s="269"/>
      <c r="H29" s="106">
        <f>H28/H25</f>
        <v>3.12</v>
      </c>
    </row>
    <row r="30" spans="2:8" ht="12.75">
      <c r="B30" s="96"/>
      <c r="C30" s="107"/>
      <c r="D30" s="107"/>
      <c r="E30" s="107"/>
      <c r="F30" s="107"/>
      <c r="G30" s="107"/>
      <c r="H30" s="93"/>
    </row>
    <row r="31" spans="2:8" ht="12.75">
      <c r="B31" s="96" t="s">
        <v>29</v>
      </c>
      <c r="C31" s="107"/>
      <c r="D31" s="107"/>
      <c r="E31" s="107"/>
      <c r="F31" s="107"/>
      <c r="G31" s="107"/>
      <c r="H31" s="93"/>
    </row>
    <row r="32" ht="12.75">
      <c r="A32" s="87" t="s">
        <v>229</v>
      </c>
    </row>
    <row r="33" ht="13.5" thickBot="1">
      <c r="A33" s="87"/>
    </row>
    <row r="34" spans="2:8" ht="12.75">
      <c r="B34" s="80"/>
      <c r="C34" s="98">
        <v>2001</v>
      </c>
      <c r="D34" s="98">
        <v>2002</v>
      </c>
      <c r="E34" s="98">
        <v>2003</v>
      </c>
      <c r="F34" s="98">
        <v>2004</v>
      </c>
      <c r="G34" s="98">
        <v>2005</v>
      </c>
      <c r="H34" s="99">
        <v>2006</v>
      </c>
    </row>
    <row r="35" spans="2:8" ht="12.75">
      <c r="B35" s="82" t="s">
        <v>15</v>
      </c>
      <c r="C35" s="169">
        <v>0</v>
      </c>
      <c r="D35" s="115">
        <v>0.1</v>
      </c>
      <c r="E35" s="115">
        <v>0.1</v>
      </c>
      <c r="F35" s="115">
        <v>0.1</v>
      </c>
      <c r="G35" s="115">
        <v>0.1</v>
      </c>
      <c r="H35" s="116">
        <v>0.1</v>
      </c>
    </row>
    <row r="36" spans="2:8" ht="13.5" thickBot="1">
      <c r="B36" s="81" t="s">
        <v>152</v>
      </c>
      <c r="C36" s="170">
        <f>H25</f>
        <v>25000</v>
      </c>
      <c r="D36" s="170">
        <f>C36*(1+D35)</f>
        <v>27500.000000000004</v>
      </c>
      <c r="E36" s="170">
        <f>D36*(1+E35)</f>
        <v>30250.000000000007</v>
      </c>
      <c r="F36" s="170">
        <f>E36*(1+F35)</f>
        <v>33275.00000000001</v>
      </c>
      <c r="G36" s="170">
        <f>F36*(1+G35)</f>
        <v>36602.500000000015</v>
      </c>
      <c r="H36" s="171">
        <f>G36*(1+H35)</f>
        <v>40262.75000000002</v>
      </c>
    </row>
    <row r="39" spans="1:2" s="87" customFormat="1" ht="12.75">
      <c r="A39" s="87" t="s">
        <v>252</v>
      </c>
      <c r="B39" s="108"/>
    </row>
    <row r="40" ht="13.5" thickBot="1"/>
    <row r="41" spans="2:8" ht="12.75">
      <c r="B41" s="80"/>
      <c r="C41" s="98">
        <v>2001</v>
      </c>
      <c r="D41" s="98">
        <v>2002</v>
      </c>
      <c r="E41" s="98">
        <v>2003</v>
      </c>
      <c r="F41" s="98">
        <v>2004</v>
      </c>
      <c r="G41" s="98">
        <v>2005</v>
      </c>
      <c r="H41" s="109">
        <v>2006</v>
      </c>
    </row>
    <row r="42" spans="2:8" ht="12.75">
      <c r="B42" s="82" t="s">
        <v>12</v>
      </c>
      <c r="C42" s="115">
        <v>0.85</v>
      </c>
      <c r="D42" s="115">
        <v>0.75</v>
      </c>
      <c r="E42" s="115">
        <v>0.65</v>
      </c>
      <c r="F42" s="115">
        <v>0.5</v>
      </c>
      <c r="G42" s="115">
        <v>0.4</v>
      </c>
      <c r="H42" s="116">
        <v>0.35</v>
      </c>
    </row>
    <row r="43" spans="2:8" ht="12.75">
      <c r="B43" s="82" t="s">
        <v>13</v>
      </c>
      <c r="C43" s="115">
        <v>0.15</v>
      </c>
      <c r="D43" s="115">
        <v>0.2</v>
      </c>
      <c r="E43" s="115">
        <v>0.25</v>
      </c>
      <c r="F43" s="115">
        <v>0.25</v>
      </c>
      <c r="G43" s="115">
        <v>0.2</v>
      </c>
      <c r="H43" s="116">
        <v>0.15</v>
      </c>
    </row>
    <row r="44" spans="2:8" ht="12.75">
      <c r="B44" s="82" t="s">
        <v>230</v>
      </c>
      <c r="C44" s="115">
        <v>0</v>
      </c>
      <c r="D44" s="115">
        <v>0</v>
      </c>
      <c r="E44" s="115">
        <v>0</v>
      </c>
      <c r="F44" s="115">
        <v>0</v>
      </c>
      <c r="G44" s="115">
        <v>0</v>
      </c>
      <c r="H44" s="116">
        <v>0</v>
      </c>
    </row>
    <row r="45" spans="2:8" ht="12.75">
      <c r="B45" s="82" t="s">
        <v>231</v>
      </c>
      <c r="C45" s="115">
        <v>0</v>
      </c>
      <c r="D45" s="115">
        <v>0.05</v>
      </c>
      <c r="E45" s="115">
        <v>0.1</v>
      </c>
      <c r="F45" s="115">
        <v>0.25</v>
      </c>
      <c r="G45" s="115">
        <v>0.4</v>
      </c>
      <c r="H45" s="116">
        <v>0.5</v>
      </c>
    </row>
    <row r="46" spans="2:8" ht="13.5" thickBot="1">
      <c r="B46" s="81" t="s">
        <v>154</v>
      </c>
      <c r="C46" s="110">
        <f aca="true" t="shared" si="0" ref="C46:H46">C42+C43+C44+C45</f>
        <v>1</v>
      </c>
      <c r="D46" s="110">
        <f t="shared" si="0"/>
        <v>1</v>
      </c>
      <c r="E46" s="110">
        <f t="shared" si="0"/>
        <v>1</v>
      </c>
      <c r="F46" s="110">
        <f t="shared" si="0"/>
        <v>1</v>
      </c>
      <c r="G46" s="110">
        <f t="shared" si="0"/>
        <v>1</v>
      </c>
      <c r="H46" s="110">
        <f t="shared" si="0"/>
        <v>1</v>
      </c>
    </row>
    <row r="47" spans="2:8" ht="12.75">
      <c r="B47" s="96"/>
      <c r="C47" s="111"/>
      <c r="D47" s="111"/>
      <c r="E47" s="111"/>
      <c r="F47" s="111"/>
      <c r="G47" s="111"/>
      <c r="H47" s="111"/>
    </row>
    <row r="48" spans="2:8" ht="12.75">
      <c r="B48" s="96"/>
      <c r="C48" s="111"/>
      <c r="D48" s="111"/>
      <c r="E48" s="111"/>
      <c r="F48" s="111"/>
      <c r="G48" s="111"/>
      <c r="H48" s="111"/>
    </row>
    <row r="49" spans="1:8" ht="30" customHeight="1">
      <c r="A49" s="270" t="s">
        <v>280</v>
      </c>
      <c r="B49" s="271"/>
      <c r="C49" s="271"/>
      <c r="D49" s="271"/>
      <c r="E49" s="271"/>
      <c r="F49" s="271"/>
      <c r="G49" s="271"/>
      <c r="H49" s="271"/>
    </row>
    <row r="50" spans="2:8" ht="12.75">
      <c r="B50" s="96"/>
      <c r="C50" s="111"/>
      <c r="D50" s="111"/>
      <c r="E50" s="111"/>
      <c r="F50" s="111"/>
      <c r="G50" s="111"/>
      <c r="H50" s="111"/>
    </row>
    <row r="51" spans="2:8" ht="13.5" thickBot="1">
      <c r="B51" s="96"/>
      <c r="C51" s="111"/>
      <c r="D51" s="111"/>
      <c r="E51" s="111"/>
      <c r="F51" s="111"/>
      <c r="G51" s="111"/>
      <c r="H51" s="111"/>
    </row>
    <row r="52" spans="2:8" ht="12.75">
      <c r="B52" s="255" t="s">
        <v>138</v>
      </c>
      <c r="C52" s="256"/>
      <c r="D52" s="256"/>
      <c r="E52" s="257"/>
      <c r="F52" s="117">
        <v>15</v>
      </c>
      <c r="H52" s="111"/>
    </row>
    <row r="53" spans="2:8" ht="12.75">
      <c r="B53" s="258" t="s">
        <v>139</v>
      </c>
      <c r="C53" s="259"/>
      <c r="D53" s="259"/>
      <c r="E53" s="260"/>
      <c r="F53" s="118">
        <v>3</v>
      </c>
      <c r="H53" s="111"/>
    </row>
    <row r="54" spans="2:8" ht="12.75">
      <c r="B54" s="258" t="s">
        <v>140</v>
      </c>
      <c r="C54" s="261"/>
      <c r="D54" s="261"/>
      <c r="E54" s="262"/>
      <c r="F54" s="118">
        <v>2</v>
      </c>
      <c r="H54" s="111"/>
    </row>
    <row r="55" spans="2:8" ht="13.5" thickBot="1">
      <c r="B55" s="263" t="s">
        <v>141</v>
      </c>
      <c r="C55" s="264"/>
      <c r="D55" s="264"/>
      <c r="E55" s="265"/>
      <c r="F55" s="112">
        <f>(F53+F54)/F52</f>
        <v>0.3333333333333333</v>
      </c>
      <c r="H55" s="111"/>
    </row>
    <row r="56" spans="7:8" ht="12.75">
      <c r="G56" s="111"/>
      <c r="H56" s="111"/>
    </row>
    <row r="57" spans="2:8" ht="12.75">
      <c r="B57" s="96"/>
      <c r="C57" s="111"/>
      <c r="D57" s="111"/>
      <c r="E57" s="111"/>
      <c r="F57" s="111"/>
      <c r="G57" s="111"/>
      <c r="H57" s="111"/>
    </row>
    <row r="58" ht="12.75">
      <c r="A58" s="87" t="s">
        <v>232</v>
      </c>
    </row>
    <row r="59" ht="12.75">
      <c r="A59" s="89" t="s">
        <v>29</v>
      </c>
    </row>
    <row r="60" ht="13.5" thickBot="1">
      <c r="B60" s="88" t="s">
        <v>29</v>
      </c>
    </row>
    <row r="61" spans="2:3" ht="12.75">
      <c r="B61" s="80" t="s">
        <v>233</v>
      </c>
      <c r="C61" s="90">
        <v>0.3</v>
      </c>
    </row>
    <row r="62" spans="2:3" ht="12.75">
      <c r="B62" s="82" t="s">
        <v>36</v>
      </c>
      <c r="C62" s="102">
        <v>0.2</v>
      </c>
    </row>
    <row r="63" spans="2:3" ht="12.75">
      <c r="B63" s="91" t="s">
        <v>37</v>
      </c>
      <c r="C63" s="113">
        <v>0.2</v>
      </c>
    </row>
    <row r="64" spans="2:4" ht="13.5" thickBot="1">
      <c r="B64" s="81" t="s">
        <v>287</v>
      </c>
      <c r="C64" s="112">
        <f>((Costs_PO_RN!C34*C61)+(Costs_PO_RN!C37*C62)+(Costs_PO_RN!C40*C63))/(Costs_PO_RN!C34+Costs_PO_RN!C37+Costs_PO_RN!C40)</f>
        <v>0.23076923076923078</v>
      </c>
      <c r="D64" s="89" t="s">
        <v>273</v>
      </c>
    </row>
    <row r="65" spans="2:8" ht="12.75">
      <c r="B65" s="96"/>
      <c r="C65" s="111"/>
      <c r="D65" s="111"/>
      <c r="E65" s="111"/>
      <c r="F65" s="111"/>
      <c r="G65" s="111"/>
      <c r="H65" s="111"/>
    </row>
    <row r="66" spans="2:8" ht="13.5" thickBot="1">
      <c r="B66" s="96"/>
      <c r="C66" s="111"/>
      <c r="D66" s="111"/>
      <c r="E66" s="111"/>
      <c r="F66" s="111"/>
      <c r="G66" s="111"/>
      <c r="H66" s="111"/>
    </row>
    <row r="67" spans="2:9" s="19" customFormat="1" ht="15">
      <c r="B67" s="242" t="s">
        <v>272</v>
      </c>
      <c r="C67" s="243"/>
      <c r="D67" s="243"/>
      <c r="E67" s="243"/>
      <c r="F67" s="243"/>
      <c r="G67" s="243"/>
      <c r="H67" s="30">
        <f>'Prelimany Data'!C16</f>
        <v>10</v>
      </c>
      <c r="I67" s="19" t="s">
        <v>149</v>
      </c>
    </row>
    <row r="68" spans="2:9" s="19" customFormat="1" ht="20.25" customHeight="1" thickBot="1">
      <c r="B68" s="244" t="s">
        <v>153</v>
      </c>
      <c r="C68" s="245"/>
      <c r="D68" s="245"/>
      <c r="E68" s="245"/>
      <c r="F68" s="245"/>
      <c r="G68" s="245"/>
      <c r="H68" s="27">
        <v>7</v>
      </c>
      <c r="I68" s="19" t="s">
        <v>149</v>
      </c>
    </row>
    <row r="69" spans="2:8" ht="12.75">
      <c r="B69" s="96"/>
      <c r="C69" s="111"/>
      <c r="D69" s="111"/>
      <c r="E69" s="111"/>
      <c r="F69" s="111"/>
      <c r="G69" s="111"/>
      <c r="H69" s="111"/>
    </row>
    <row r="70" spans="2:8" ht="13.5" thickBot="1">
      <c r="B70" s="96"/>
      <c r="C70" s="111"/>
      <c r="D70" s="111"/>
      <c r="E70" s="111"/>
      <c r="F70" s="111"/>
      <c r="G70" s="111"/>
      <c r="H70" s="111"/>
    </row>
    <row r="71" spans="2:8" ht="12.75">
      <c r="B71" s="96"/>
      <c r="C71" s="246" t="s">
        <v>193</v>
      </c>
      <c r="D71" s="247"/>
      <c r="E71" s="248"/>
      <c r="F71" s="111"/>
      <c r="G71" s="111"/>
      <c r="H71" s="111"/>
    </row>
    <row r="72" spans="3:5" ht="12.75">
      <c r="C72" s="249"/>
      <c r="D72" s="250"/>
      <c r="E72" s="251"/>
    </row>
    <row r="73" spans="3:5" ht="13.5" thickBot="1">
      <c r="C73" s="252"/>
      <c r="D73" s="253"/>
      <c r="E73" s="254"/>
    </row>
  </sheetData>
  <mergeCells count="14">
    <mergeCell ref="B2:G3"/>
    <mergeCell ref="B27:G27"/>
    <mergeCell ref="B67:G67"/>
    <mergeCell ref="B68:G68"/>
    <mergeCell ref="B25:G25"/>
    <mergeCell ref="B28:G28"/>
    <mergeCell ref="B29:G29"/>
    <mergeCell ref="A49:H49"/>
    <mergeCell ref="B26:G26"/>
    <mergeCell ref="C71:E73"/>
    <mergeCell ref="B52:E52"/>
    <mergeCell ref="B53:E53"/>
    <mergeCell ref="B54:E54"/>
    <mergeCell ref="B55:E55"/>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2:I73"/>
  <sheetViews>
    <sheetView workbookViewId="0" topLeftCell="A1">
      <selection activeCell="C9" sqref="C9"/>
    </sheetView>
  </sheetViews>
  <sheetFormatPr defaultColWidth="9.140625" defaultRowHeight="12.75"/>
  <cols>
    <col min="1" max="1" width="8.8515625" style="19" customWidth="1"/>
    <col min="2" max="2" width="50.8515625" style="18" customWidth="1"/>
    <col min="3" max="3" width="15.28125" style="19" bestFit="1" customWidth="1"/>
    <col min="4" max="4" width="12.140625" style="19" customWidth="1"/>
    <col min="5" max="7" width="10.8515625" style="19" bestFit="1" customWidth="1"/>
    <col min="8" max="8" width="13.00390625" style="19" customWidth="1"/>
    <col min="9" max="16384" width="8.8515625" style="19" customWidth="1"/>
  </cols>
  <sheetData>
    <row r="1" ht="15"/>
    <row r="2" spans="1:2" s="17" customFormat="1" ht="15.75">
      <c r="A2" s="17" t="s">
        <v>243</v>
      </c>
      <c r="B2" s="22"/>
    </row>
    <row r="3" ht="15.75" thickBot="1"/>
    <row r="4" spans="2:4" ht="15.75">
      <c r="B4" s="36" t="s">
        <v>23</v>
      </c>
      <c r="C4" s="37"/>
      <c r="D4" s="38"/>
    </row>
    <row r="5" spans="2:4" ht="15">
      <c r="B5" s="39" t="s">
        <v>1</v>
      </c>
      <c r="C5" s="40">
        <v>500000</v>
      </c>
      <c r="D5" s="41" t="s">
        <v>29</v>
      </c>
    </row>
    <row r="6" spans="2:4" ht="30">
      <c r="B6" s="24" t="s">
        <v>237</v>
      </c>
      <c r="C6" s="174">
        <f>'Prelimany Data'!F55</f>
        <v>0.3333333333333333</v>
      </c>
      <c r="D6" s="123">
        <f>C5*C6</f>
        <v>166666.66666666666</v>
      </c>
    </row>
    <row r="7" spans="2:4" ht="15">
      <c r="B7" s="24"/>
      <c r="C7" s="42"/>
      <c r="D7" s="41"/>
    </row>
    <row r="8" spans="2:4" ht="30">
      <c r="B8" s="24" t="s">
        <v>47</v>
      </c>
      <c r="C8" s="43">
        <v>1000000</v>
      </c>
      <c r="D8" s="41" t="s">
        <v>29</v>
      </c>
    </row>
    <row r="9" spans="2:4" ht="30">
      <c r="B9" s="24" t="s">
        <v>238</v>
      </c>
      <c r="C9" s="174">
        <f>'Prelimany Data'!F55</f>
        <v>0.3333333333333333</v>
      </c>
      <c r="D9" s="123">
        <f>C8*C9</f>
        <v>333333.3333333333</v>
      </c>
    </row>
    <row r="10" spans="2:4" ht="15">
      <c r="B10" s="24"/>
      <c r="C10" s="42"/>
      <c r="D10" s="41"/>
    </row>
    <row r="11" spans="2:4" ht="30">
      <c r="B11" s="24" t="s">
        <v>2</v>
      </c>
      <c r="C11" s="125"/>
      <c r="D11" s="41" t="s">
        <v>29</v>
      </c>
    </row>
    <row r="12" spans="2:4" ht="15">
      <c r="B12" s="24" t="s">
        <v>239</v>
      </c>
      <c r="C12" s="44">
        <v>7</v>
      </c>
      <c r="D12" s="41"/>
    </row>
    <row r="13" spans="2:4" ht="15">
      <c r="B13" s="24" t="s">
        <v>51</v>
      </c>
      <c r="C13" s="43">
        <v>120000</v>
      </c>
      <c r="D13" s="41"/>
    </row>
    <row r="14" spans="2:4" ht="30.75" thickBot="1">
      <c r="B14" s="26" t="s">
        <v>4</v>
      </c>
      <c r="C14" s="45">
        <v>0.75</v>
      </c>
      <c r="D14" s="124">
        <f>C14*C13*C12</f>
        <v>630000</v>
      </c>
    </row>
    <row r="15" ht="15"/>
    <row r="16" spans="2:4" ht="15.75" thickBot="1">
      <c r="B16" s="19"/>
      <c r="C16" s="23"/>
      <c r="D16" s="23"/>
    </row>
    <row r="17" spans="2:4" ht="15.75">
      <c r="B17" s="36" t="s">
        <v>6</v>
      </c>
      <c r="C17" s="37"/>
      <c r="D17" s="67"/>
    </row>
    <row r="18" spans="2:4" ht="27" customHeight="1">
      <c r="B18" s="291" t="s">
        <v>281</v>
      </c>
      <c r="C18" s="292"/>
      <c r="D18" s="51">
        <v>25000</v>
      </c>
    </row>
    <row r="19" spans="2:4" ht="28.5" customHeight="1">
      <c r="B19" s="291" t="s">
        <v>240</v>
      </c>
      <c r="C19" s="292"/>
      <c r="D19" s="25">
        <v>3</v>
      </c>
    </row>
    <row r="20" spans="2:4" ht="15">
      <c r="B20" s="291" t="s">
        <v>282</v>
      </c>
      <c r="C20" s="292"/>
      <c r="D20" s="51">
        <v>100000</v>
      </c>
    </row>
    <row r="21" spans="2:4" ht="15.75" thickBot="1">
      <c r="B21" s="244" t="s">
        <v>39</v>
      </c>
      <c r="C21" s="245"/>
      <c r="D21" s="48">
        <f>D18+(D19*D20)</f>
        <v>325000</v>
      </c>
    </row>
    <row r="22" ht="15.75" thickBot="1"/>
    <row r="23" spans="2:8" ht="15.75">
      <c r="B23" s="49" t="s">
        <v>241</v>
      </c>
      <c r="C23" s="29">
        <v>2001</v>
      </c>
      <c r="D23" s="29">
        <v>2002</v>
      </c>
      <c r="E23" s="29">
        <v>2003</v>
      </c>
      <c r="F23" s="29">
        <v>2004</v>
      </c>
      <c r="G23" s="29">
        <v>2005</v>
      </c>
      <c r="H23" s="30">
        <v>2006</v>
      </c>
    </row>
    <row r="24" spans="2:8" ht="15">
      <c r="B24" s="24" t="s">
        <v>26</v>
      </c>
      <c r="C24" s="50">
        <v>200000</v>
      </c>
      <c r="D24" s="50">
        <v>200000</v>
      </c>
      <c r="E24" s="50">
        <v>100000</v>
      </c>
      <c r="F24" s="50">
        <v>100000</v>
      </c>
      <c r="G24" s="50">
        <v>50000</v>
      </c>
      <c r="H24" s="50">
        <v>50000</v>
      </c>
    </row>
    <row r="25" spans="2:8" ht="30.75" thickBot="1">
      <c r="B25" s="26" t="s">
        <v>25</v>
      </c>
      <c r="C25" s="86">
        <f>C24*'Prelimany Data'!$F$55</f>
        <v>66666.66666666666</v>
      </c>
      <c r="D25" s="86">
        <f>D24*'Prelimany Data'!$F$55</f>
        <v>66666.66666666666</v>
      </c>
      <c r="E25" s="86">
        <f>E24*'Prelimany Data'!$F$55</f>
        <v>33333.33333333333</v>
      </c>
      <c r="F25" s="86">
        <f>F24*'Prelimany Data'!$F$55</f>
        <v>33333.33333333333</v>
      </c>
      <c r="G25" s="86">
        <f>G24*'Prelimany Data'!$F$55</f>
        <v>16666.666666666664</v>
      </c>
      <c r="H25" s="86">
        <f>H24*'Prelimany Data'!$F$55</f>
        <v>16666.666666666664</v>
      </c>
    </row>
    <row r="26" spans="2:8" ht="15">
      <c r="B26" s="28"/>
      <c r="C26" s="52"/>
      <c r="D26" s="52"/>
      <c r="E26" s="52"/>
      <c r="F26" s="52"/>
      <c r="G26" s="52"/>
      <c r="H26" s="52"/>
    </row>
    <row r="27" spans="2:8" ht="30" customHeight="1">
      <c r="B27" s="282" t="s">
        <v>242</v>
      </c>
      <c r="C27" s="283"/>
      <c r="D27" s="283"/>
      <c r="E27" s="283"/>
      <c r="F27" s="283"/>
      <c r="G27" s="283"/>
      <c r="H27" s="283"/>
    </row>
    <row r="28" spans="2:8" ht="30" customHeight="1">
      <c r="B28" s="153"/>
      <c r="C28" s="18"/>
      <c r="D28" s="18"/>
      <c r="E28" s="18"/>
      <c r="F28" s="18"/>
      <c r="G28" s="18"/>
      <c r="H28" s="18"/>
    </row>
    <row r="30" ht="15.75">
      <c r="A30" s="17" t="s">
        <v>200</v>
      </c>
    </row>
    <row r="32" spans="1:2" s="17" customFormat="1" ht="15.75">
      <c r="A32" s="17" t="s">
        <v>21</v>
      </c>
      <c r="B32" s="22"/>
    </row>
    <row r="33" ht="15.75" thickBot="1"/>
    <row r="34" spans="2:3" ht="45">
      <c r="B34" s="53" t="s">
        <v>147</v>
      </c>
      <c r="C34" s="54">
        <v>20</v>
      </c>
    </row>
    <row r="35" spans="2:4" ht="15">
      <c r="B35" s="32" t="s">
        <v>283</v>
      </c>
      <c r="C35" s="55">
        <v>60000</v>
      </c>
      <c r="D35" s="19" t="s">
        <v>29</v>
      </c>
    </row>
    <row r="36" spans="2:3" ht="15">
      <c r="B36" s="56"/>
      <c r="C36" s="57"/>
    </row>
    <row r="37" spans="2:3" ht="30">
      <c r="B37" s="32" t="s">
        <v>235</v>
      </c>
      <c r="C37" s="58">
        <v>35</v>
      </c>
    </row>
    <row r="38" spans="2:5" ht="15">
      <c r="B38" s="32" t="s">
        <v>284</v>
      </c>
      <c r="C38" s="55">
        <v>75000</v>
      </c>
      <c r="D38" s="19" t="s">
        <v>29</v>
      </c>
      <c r="E38" s="19" t="s">
        <v>29</v>
      </c>
    </row>
    <row r="39" spans="2:5" ht="15.75" thickBot="1">
      <c r="B39" s="56"/>
      <c r="C39" s="57"/>
      <c r="E39" s="19" t="s">
        <v>29</v>
      </c>
    </row>
    <row r="40" spans="2:8" ht="30" customHeight="1" thickBot="1">
      <c r="B40" s="32" t="s">
        <v>22</v>
      </c>
      <c r="C40" s="58">
        <v>10</v>
      </c>
      <c r="E40" s="273" t="s">
        <v>162</v>
      </c>
      <c r="F40" s="274"/>
      <c r="G40" s="275"/>
      <c r="H40" s="65">
        <f>C34+C37+C40</f>
        <v>65</v>
      </c>
    </row>
    <row r="41" spans="2:8" ht="15" customHeight="1">
      <c r="B41" s="32" t="s">
        <v>285</v>
      </c>
      <c r="C41" s="55">
        <v>70000</v>
      </c>
      <c r="D41" s="19" t="s">
        <v>29</v>
      </c>
      <c r="E41" s="276" t="s">
        <v>244</v>
      </c>
      <c r="F41" s="277"/>
      <c r="G41" s="278"/>
      <c r="H41" s="285">
        <f>((C34*C35)+(C37*C38)+(C40*C41))/(C34+C37+C40)</f>
        <v>69615.38461538461</v>
      </c>
    </row>
    <row r="42" spans="2:8" ht="15.75" thickBot="1">
      <c r="B42" s="56"/>
      <c r="C42" s="57"/>
      <c r="E42" s="279"/>
      <c r="F42" s="280"/>
      <c r="G42" s="281"/>
      <c r="H42" s="286"/>
    </row>
    <row r="43" spans="2:4" ht="15.75" thickBot="1">
      <c r="B43" s="32" t="s">
        <v>10</v>
      </c>
      <c r="C43" s="55">
        <v>4000</v>
      </c>
      <c r="D43" s="19" t="s">
        <v>29</v>
      </c>
    </row>
    <row r="44" spans="2:9" ht="15" customHeight="1" thickBot="1">
      <c r="B44" s="32" t="s">
        <v>11</v>
      </c>
      <c r="C44" s="119">
        <f>C43*C34</f>
        <v>80000</v>
      </c>
      <c r="D44" s="287" t="s">
        <v>32</v>
      </c>
      <c r="E44" s="288"/>
      <c r="F44" s="288"/>
      <c r="G44" s="289"/>
      <c r="H44" s="172">
        <f>C44+(C35*C34)</f>
        <v>1280000</v>
      </c>
      <c r="I44" s="19" t="s">
        <v>29</v>
      </c>
    </row>
    <row r="45" spans="2:8" ht="15">
      <c r="B45" s="56"/>
      <c r="C45" s="57"/>
      <c r="H45" s="120"/>
    </row>
    <row r="46" spans="2:8" ht="15.75" thickBot="1">
      <c r="B46" s="32" t="s">
        <v>19</v>
      </c>
      <c r="C46" s="55">
        <v>1000</v>
      </c>
      <c r="D46" s="19" t="s">
        <v>29</v>
      </c>
      <c r="H46" s="120"/>
    </row>
    <row r="47" spans="2:9" ht="14.25" customHeight="1" thickBot="1">
      <c r="B47" s="32" t="s">
        <v>20</v>
      </c>
      <c r="C47" s="119">
        <f>C46*C37</f>
        <v>35000</v>
      </c>
      <c r="D47" s="287" t="s">
        <v>33</v>
      </c>
      <c r="E47" s="288"/>
      <c r="F47" s="288"/>
      <c r="G47" s="289"/>
      <c r="H47" s="172">
        <f>C47+(C38*C37)</f>
        <v>2660000</v>
      </c>
      <c r="I47" s="19" t="s">
        <v>29</v>
      </c>
    </row>
    <row r="48" spans="2:8" ht="15">
      <c r="B48" s="56"/>
      <c r="C48" s="57"/>
      <c r="H48" s="120"/>
    </row>
    <row r="49" spans="2:8" ht="15.75" thickBot="1">
      <c r="B49" s="32" t="s">
        <v>31</v>
      </c>
      <c r="C49" s="55">
        <v>2000</v>
      </c>
      <c r="D49" s="19" t="s">
        <v>29</v>
      </c>
      <c r="H49" s="120"/>
    </row>
    <row r="50" spans="2:9" ht="15" customHeight="1" thickBot="1">
      <c r="B50" s="32" t="s">
        <v>20</v>
      </c>
      <c r="C50" s="119">
        <f>C49*C40</f>
        <v>20000</v>
      </c>
      <c r="D50" s="287" t="s">
        <v>34</v>
      </c>
      <c r="E50" s="288"/>
      <c r="F50" s="288"/>
      <c r="G50" s="289"/>
      <c r="H50" s="172">
        <f>C50+(C41*C40)</f>
        <v>720000</v>
      </c>
      <c r="I50" s="19" t="s">
        <v>29</v>
      </c>
    </row>
    <row r="51" spans="2:3" ht="15">
      <c r="B51" s="56"/>
      <c r="C51" s="57"/>
    </row>
    <row r="52" spans="2:4" ht="15">
      <c r="B52" s="32" t="s">
        <v>151</v>
      </c>
      <c r="C52" s="55">
        <v>500000</v>
      </c>
      <c r="D52" s="19" t="s">
        <v>29</v>
      </c>
    </row>
    <row r="53" spans="2:3" ht="15">
      <c r="B53" s="56"/>
      <c r="C53" s="57"/>
    </row>
    <row r="54" spans="2:4" ht="61.5" thickBot="1">
      <c r="B54" s="32" t="s">
        <v>194</v>
      </c>
      <c r="C54" s="59">
        <v>10000000</v>
      </c>
      <c r="D54" s="19" t="s">
        <v>29</v>
      </c>
    </row>
    <row r="55" ht="15.75" thickBot="1"/>
    <row r="56" spans="2:4" ht="15">
      <c r="B56" s="20" t="s">
        <v>48</v>
      </c>
      <c r="C56" s="121">
        <f>H44+H47+H50+C52+C54</f>
        <v>15160000</v>
      </c>
      <c r="D56" s="19" t="s">
        <v>29</v>
      </c>
    </row>
    <row r="57" spans="2:4" ht="30">
      <c r="B57" s="24" t="s">
        <v>35</v>
      </c>
      <c r="C57" s="83">
        <f>'Prelimany Data'!H25+'Prelimany Data'!H28</f>
        <v>103000</v>
      </c>
      <c r="D57" s="19" t="s">
        <v>29</v>
      </c>
    </row>
    <row r="58" spans="2:3" ht="15.75" thickBot="1">
      <c r="B58" s="26" t="s">
        <v>7</v>
      </c>
      <c r="C58" s="122">
        <f>C56/C57</f>
        <v>147.18446601941747</v>
      </c>
    </row>
    <row r="60" ht="15.75">
      <c r="A60" s="17" t="s">
        <v>155</v>
      </c>
    </row>
    <row r="61" ht="15.75">
      <c r="A61" s="17"/>
    </row>
    <row r="62" ht="13.5" customHeight="1" thickBot="1"/>
    <row r="63" spans="2:8" ht="45.75" customHeight="1">
      <c r="B63" s="20" t="s">
        <v>236</v>
      </c>
      <c r="C63" s="173">
        <v>0.5</v>
      </c>
      <c r="D63" s="290" t="s">
        <v>270</v>
      </c>
      <c r="E63" s="283"/>
      <c r="F63" s="283"/>
      <c r="G63" s="283"/>
      <c r="H63" s="283"/>
    </row>
    <row r="64" spans="2:3" ht="15.75" thickBot="1">
      <c r="B64" s="26" t="s">
        <v>7</v>
      </c>
      <c r="C64" s="122">
        <f>(1-C63)*C58</f>
        <v>73.59223300970874</v>
      </c>
    </row>
    <row r="67" spans="1:6" ht="60.75" customHeight="1">
      <c r="A67" s="19" t="s">
        <v>29</v>
      </c>
      <c r="B67" s="283" t="s">
        <v>286</v>
      </c>
      <c r="C67" s="284"/>
      <c r="D67" s="284"/>
      <c r="E67" s="284"/>
      <c r="F67" s="284"/>
    </row>
    <row r="68" ht="13.5" customHeight="1"/>
    <row r="70" ht="15.75" thickBot="1"/>
    <row r="71" spans="3:5" ht="15">
      <c r="C71" s="246" t="s">
        <v>193</v>
      </c>
      <c r="D71" s="247"/>
      <c r="E71" s="248"/>
    </row>
    <row r="72" spans="3:5" ht="15">
      <c r="C72" s="249"/>
      <c r="D72" s="250"/>
      <c r="E72" s="251"/>
    </row>
    <row r="73" spans="3:5" ht="15.75" thickBot="1">
      <c r="C73" s="252"/>
      <c r="D73" s="253"/>
      <c r="E73" s="254"/>
    </row>
  </sheetData>
  <mergeCells count="14">
    <mergeCell ref="B18:C18"/>
    <mergeCell ref="B19:C19"/>
    <mergeCell ref="B20:C20"/>
    <mergeCell ref="B21:C21"/>
    <mergeCell ref="E40:G40"/>
    <mergeCell ref="E41:G42"/>
    <mergeCell ref="C71:E73"/>
    <mergeCell ref="B27:H27"/>
    <mergeCell ref="B67:F67"/>
    <mergeCell ref="H41:H42"/>
    <mergeCell ref="D47:G47"/>
    <mergeCell ref="D44:G44"/>
    <mergeCell ref="D50:G50"/>
    <mergeCell ref="D63:H63"/>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3:I53"/>
  <sheetViews>
    <sheetView workbookViewId="0" topLeftCell="A1">
      <selection activeCell="C35" sqref="C35"/>
    </sheetView>
  </sheetViews>
  <sheetFormatPr defaultColWidth="9.140625" defaultRowHeight="12.75"/>
  <cols>
    <col min="1" max="1" width="8.8515625" style="19" customWidth="1"/>
    <col min="2" max="2" width="31.57421875" style="18" customWidth="1"/>
    <col min="3" max="3" width="11.140625" style="19" bestFit="1" customWidth="1"/>
    <col min="4" max="8" width="13.421875" style="19" bestFit="1" customWidth="1"/>
    <col min="9" max="16384" width="8.8515625" style="19" customWidth="1"/>
  </cols>
  <sheetData>
    <row r="3" spans="1:4" ht="15.75">
      <c r="A3" s="17" t="s">
        <v>41</v>
      </c>
      <c r="B3" s="28"/>
      <c r="C3" s="23"/>
      <c r="D3" s="156" t="s">
        <v>204</v>
      </c>
    </row>
    <row r="4" spans="2:3" ht="15">
      <c r="B4" s="28"/>
      <c r="C4" s="23"/>
    </row>
    <row r="5" spans="2:8" ht="15.75">
      <c r="B5" s="282" t="s">
        <v>150</v>
      </c>
      <c r="C5" s="283"/>
      <c r="D5" s="283"/>
      <c r="E5" s="283"/>
      <c r="F5" s="283"/>
      <c r="G5" s="283"/>
      <c r="H5" s="283"/>
    </row>
    <row r="6" spans="2:8" ht="15.75">
      <c r="B6" s="153"/>
      <c r="C6" s="18"/>
      <c r="D6" s="18"/>
      <c r="E6" s="18"/>
      <c r="F6" s="18"/>
      <c r="G6" s="18"/>
      <c r="H6" s="18"/>
    </row>
    <row r="7" spans="2:8" ht="15">
      <c r="B7" s="184" t="s">
        <v>253</v>
      </c>
      <c r="C7" s="154"/>
      <c r="D7" s="154"/>
      <c r="E7" s="154"/>
      <c r="F7" s="154"/>
      <c r="G7" s="154"/>
      <c r="H7" s="18"/>
    </row>
    <row r="8" spans="2:3" ht="15.75" thickBot="1">
      <c r="B8" s="28"/>
      <c r="C8" s="23"/>
    </row>
    <row r="9" spans="2:8" ht="15.75" thickBot="1">
      <c r="B9" s="63"/>
      <c r="C9" s="179">
        <v>2001</v>
      </c>
      <c r="D9" s="179">
        <v>2002</v>
      </c>
      <c r="E9" s="179">
        <v>2003</v>
      </c>
      <c r="F9" s="179">
        <v>2004</v>
      </c>
      <c r="G9" s="179">
        <v>2005</v>
      </c>
      <c r="H9" s="180">
        <v>2006</v>
      </c>
    </row>
    <row r="10" spans="2:8" ht="15">
      <c r="B10" s="39" t="s">
        <v>40</v>
      </c>
      <c r="C10" s="175">
        <f>'Prelimany Data'!C36*'Prelimany Data'!H29</f>
        <v>78000</v>
      </c>
      <c r="D10" s="175">
        <f>'Prelimany Data'!D36*'Prelimany Data'!H29</f>
        <v>85800.00000000001</v>
      </c>
      <c r="E10" s="175">
        <f>'Prelimany Data'!E36*'Prelimany Data'!H29</f>
        <v>94380.00000000003</v>
      </c>
      <c r="F10" s="175">
        <f>'Prelimany Data'!F36*'Prelimany Data'!H29</f>
        <v>103818.00000000003</v>
      </c>
      <c r="G10" s="175">
        <f>'Prelimany Data'!G36*'Prelimany Data'!H29</f>
        <v>114199.80000000005</v>
      </c>
      <c r="H10" s="178">
        <f>'Prelimany Data'!H36*'Prelimany Data'!H29</f>
        <v>125619.78000000007</v>
      </c>
    </row>
    <row r="11" spans="2:8" ht="30">
      <c r="B11" s="24" t="s">
        <v>50</v>
      </c>
      <c r="C11" s="127">
        <f>Costs_PO_RN!$C$58</f>
        <v>147.18446601941747</v>
      </c>
      <c r="D11" s="127">
        <f>Costs_PO_RN!$C$58</f>
        <v>147.18446601941747</v>
      </c>
      <c r="E11" s="127">
        <f>Costs_PO_RN!$C$58</f>
        <v>147.18446601941747</v>
      </c>
      <c r="F11" s="127">
        <f>Costs_PO_RN!$C$58</f>
        <v>147.18446601941747</v>
      </c>
      <c r="G11" s="127">
        <f>Costs_PO_RN!$C$58</f>
        <v>147.18446601941747</v>
      </c>
      <c r="H11" s="176">
        <f>Costs_PO_RN!$C$58</f>
        <v>147.18446601941747</v>
      </c>
    </row>
    <row r="12" spans="2:9" ht="30">
      <c r="B12" s="24" t="s">
        <v>245</v>
      </c>
      <c r="C12" s="127">
        <f>(Costs_PO_RN!$C58*(1-'Prelimany Data'!C45))+(Costs_PO_RN!C$64*('Prelimany Data'!C45))</f>
        <v>147.18446601941747</v>
      </c>
      <c r="D12" s="127">
        <f>((Costs_PO_RN!$C58*(1-'Prelimany Data'!D45))+(Costs_PO_RN!C$64*('Prelimany Data'!D45)))</f>
        <v>143.50485436893203</v>
      </c>
      <c r="E12" s="127">
        <f>((Costs_PO_RN!$C58*(1-'Prelimany Data'!E45))+(Costs_PO_RN!C$64*('Prelimany Data'!E45)))</f>
        <v>139.82524271844662</v>
      </c>
      <c r="F12" s="127">
        <f>((Costs_PO_RN!$C58*(1-'Prelimany Data'!F45))+(Costs_PO_RN!C$64*('Prelimany Data'!F45)))</f>
        <v>128.7864077669903</v>
      </c>
      <c r="G12" s="127">
        <f>((Costs_PO_RN!$C58*(1-'Prelimany Data'!G45))+(Costs_PO_RN!C$64*('Prelimany Data'!G45)))</f>
        <v>117.74757281553399</v>
      </c>
      <c r="H12" s="176">
        <f>((Costs_PO_RN!$C58*(1-'Prelimany Data'!H45))+(Costs_PO_RN!C$64*('Prelimany Data'!H45)))</f>
        <v>110.3883495145631</v>
      </c>
      <c r="I12" s="19" t="s">
        <v>156</v>
      </c>
    </row>
    <row r="13" spans="2:8" ht="15.75" thickBot="1">
      <c r="B13" s="26" t="s">
        <v>52</v>
      </c>
      <c r="C13" s="128">
        <f aca="true" t="shared" si="0" ref="C13:H13">C11-C12</f>
        <v>0</v>
      </c>
      <c r="D13" s="128">
        <f t="shared" si="0"/>
        <v>3.679611650485441</v>
      </c>
      <c r="E13" s="128">
        <f t="shared" si="0"/>
        <v>7.359223300970854</v>
      </c>
      <c r="F13" s="128">
        <f t="shared" si="0"/>
        <v>18.398058252427177</v>
      </c>
      <c r="G13" s="128">
        <f t="shared" si="0"/>
        <v>29.436893203883486</v>
      </c>
      <c r="H13" s="177">
        <f t="shared" si="0"/>
        <v>36.79611650485437</v>
      </c>
    </row>
    <row r="14" spans="2:8" ht="15.75" thickBot="1">
      <c r="B14" s="185" t="s">
        <v>53</v>
      </c>
      <c r="C14" s="187">
        <f aca="true" t="shared" si="1" ref="C14:H14">C13*C10</f>
        <v>0</v>
      </c>
      <c r="D14" s="187">
        <f t="shared" si="1"/>
        <v>315710.6796116509</v>
      </c>
      <c r="E14" s="187">
        <f t="shared" si="1"/>
        <v>694563.4951456294</v>
      </c>
      <c r="F14" s="187">
        <f t="shared" si="1"/>
        <v>1910049.611650485</v>
      </c>
      <c r="G14" s="187">
        <f t="shared" si="1"/>
        <v>3361687.3165048547</v>
      </c>
      <c r="H14" s="188">
        <f t="shared" si="1"/>
        <v>4622320.060194178</v>
      </c>
    </row>
    <row r="16" ht="15.75" thickBot="1"/>
    <row r="17" spans="2:8" ht="15.75" thickBot="1">
      <c r="B17" s="63"/>
      <c r="C17" s="179">
        <v>2001</v>
      </c>
      <c r="D17" s="179">
        <v>2002</v>
      </c>
      <c r="E17" s="179">
        <v>2003</v>
      </c>
      <c r="F17" s="179">
        <v>2004</v>
      </c>
      <c r="G17" s="179">
        <v>2005</v>
      </c>
      <c r="H17" s="180">
        <v>2006</v>
      </c>
    </row>
    <row r="18" spans="2:8" ht="30">
      <c r="B18" s="39" t="s">
        <v>42</v>
      </c>
      <c r="C18" s="181">
        <f>'Prelimany Data'!C16</f>
        <v>10</v>
      </c>
      <c r="D18" s="181">
        <f>'Prelimany Data'!C16</f>
        <v>10</v>
      </c>
      <c r="E18" s="181">
        <f>'Prelimany Data'!C16</f>
        <v>10</v>
      </c>
      <c r="F18" s="181">
        <f>'Prelimany Data'!C16</f>
        <v>10</v>
      </c>
      <c r="G18" s="181">
        <f>'Prelimany Data'!C16</f>
        <v>10</v>
      </c>
      <c r="H18" s="181">
        <f>'Prelimany Data'!C16</f>
        <v>10</v>
      </c>
    </row>
    <row r="19" spans="2:9" ht="30" customHeight="1">
      <c r="B19" s="24" t="s">
        <v>247</v>
      </c>
      <c r="C19" s="62">
        <f>(('Prelimany Data'!$H$67*('Prelimany Data'!C42+'Prelimany Data'!C43+'Prelimany Data'!C44))+('Prelimany Data'!$H$68*'Prelimany Data'!C45))</f>
        <v>10</v>
      </c>
      <c r="D19" s="62">
        <f>(('Prelimany Data'!$H$67*('Prelimany Data'!D42+'Prelimany Data'!D43+'Prelimany Data'!D44))+('Prelimany Data'!$H$68*'Prelimany Data'!D45))</f>
        <v>9.85</v>
      </c>
      <c r="E19" s="62">
        <f>(('Prelimany Data'!$H$67*('Prelimany Data'!E42+'Prelimany Data'!E43+'Prelimany Data'!E44))+('Prelimany Data'!$H$68*'Prelimany Data'!E45))</f>
        <v>9.7</v>
      </c>
      <c r="F19" s="62">
        <f>(('Prelimany Data'!$H$67*('Prelimany Data'!F42+'Prelimany Data'!F43+'Prelimany Data'!F44))+('Prelimany Data'!$H$68*'Prelimany Data'!F45))</f>
        <v>9.25</v>
      </c>
      <c r="G19" s="62">
        <f>(('Prelimany Data'!$H$67*('Prelimany Data'!G42+'Prelimany Data'!G43+'Prelimany Data'!G44))+('Prelimany Data'!$H$68*'Prelimany Data'!G45))</f>
        <v>8.8</v>
      </c>
      <c r="H19" s="62">
        <f>(('Prelimany Data'!$H$67*('Prelimany Data'!H42+'Prelimany Data'!H43+'Prelimany Data'!H44))+('Prelimany Data'!$H$68*'Prelimany Data'!H45))</f>
        <v>8.5</v>
      </c>
      <c r="I19" s="19" t="s">
        <v>246</v>
      </c>
    </row>
    <row r="20" spans="2:8" ht="15">
      <c r="B20" s="24" t="s">
        <v>248</v>
      </c>
      <c r="C20" s="62">
        <f aca="true" t="shared" si="2" ref="C20:H20">C18-C19</f>
        <v>0</v>
      </c>
      <c r="D20" s="62">
        <f t="shared" si="2"/>
        <v>0.15000000000000036</v>
      </c>
      <c r="E20" s="62">
        <f t="shared" si="2"/>
        <v>0.3000000000000007</v>
      </c>
      <c r="F20" s="62">
        <f t="shared" si="2"/>
        <v>0.75</v>
      </c>
      <c r="G20" s="62">
        <f t="shared" si="2"/>
        <v>1.1999999999999993</v>
      </c>
      <c r="H20" s="62">
        <f t="shared" si="2"/>
        <v>1.5</v>
      </c>
    </row>
    <row r="21" spans="2:8" ht="15.75" thickBot="1">
      <c r="B21" s="26" t="s">
        <v>249</v>
      </c>
      <c r="C21" s="33">
        <f aca="true" t="shared" si="3" ref="C21:H21">C20/365</f>
        <v>0</v>
      </c>
      <c r="D21" s="33">
        <f t="shared" si="3"/>
        <v>0.00041095890410959</v>
      </c>
      <c r="E21" s="33">
        <f t="shared" si="3"/>
        <v>0.00082191780821918</v>
      </c>
      <c r="F21" s="33">
        <f t="shared" si="3"/>
        <v>0.002054794520547945</v>
      </c>
      <c r="G21" s="33">
        <f t="shared" si="3"/>
        <v>0.0032876712328767104</v>
      </c>
      <c r="H21" s="33">
        <f t="shared" si="3"/>
        <v>0.00410958904109589</v>
      </c>
    </row>
    <row r="22" spans="2:8" ht="15">
      <c r="B22" s="28"/>
      <c r="C22" s="23"/>
      <c r="D22" s="23"/>
      <c r="E22" s="23"/>
      <c r="F22" s="23"/>
      <c r="G22" s="23"/>
      <c r="H22" s="23"/>
    </row>
    <row r="23" spans="2:8" ht="15">
      <c r="B23" s="28"/>
      <c r="C23" s="23"/>
      <c r="D23" s="23"/>
      <c r="E23" s="23"/>
      <c r="F23" s="23"/>
      <c r="G23" s="23"/>
      <c r="H23" s="23"/>
    </row>
    <row r="24" spans="2:8" ht="15">
      <c r="B24" s="184" t="s">
        <v>254</v>
      </c>
      <c r="C24" s="23"/>
      <c r="D24" s="23"/>
      <c r="E24" s="23"/>
      <c r="F24" s="23"/>
      <c r="G24" s="23"/>
      <c r="H24" s="23"/>
    </row>
    <row r="25" spans="2:8" ht="15.75" thickBot="1">
      <c r="B25" s="184"/>
      <c r="C25" s="23"/>
      <c r="D25" s="23"/>
      <c r="E25" s="23"/>
      <c r="F25" s="23"/>
      <c r="G25" s="23"/>
      <c r="H25" s="23"/>
    </row>
    <row r="26" spans="2:8" ht="15.75" thickBot="1">
      <c r="B26" s="63"/>
      <c r="C26" s="179">
        <v>2001</v>
      </c>
      <c r="D26" s="179">
        <v>2002</v>
      </c>
      <c r="E26" s="179">
        <v>2003</v>
      </c>
      <c r="F26" s="179">
        <v>2004</v>
      </c>
      <c r="G26" s="179">
        <v>2005</v>
      </c>
      <c r="H26" s="180">
        <v>2006</v>
      </c>
    </row>
    <row r="27" spans="2:8" ht="30.75" thickBot="1">
      <c r="B27" s="189" t="s">
        <v>250</v>
      </c>
      <c r="C27" s="187">
        <f>'Prelimany Data'!C23*1000*Benefits_PO_RN!C21*'Prelimany Data'!C12</f>
        <v>0</v>
      </c>
      <c r="D27" s="187">
        <f>('Prelimany Data'!D23)*1000*Benefits_PO_RN!D21*'Prelimany Data'!$C$12</f>
        <v>4327.397260273982</v>
      </c>
      <c r="E27" s="187">
        <f>('Prelimany Data'!E23)*1000*Benefits_PO_RN!E21*'Prelimany Data'!$C$12</f>
        <v>9347.178082191802</v>
      </c>
      <c r="F27" s="187">
        <f>('Prelimany Data'!F23)*1000*Benefits_PO_RN!F21*'Prelimany Data'!$C$12</f>
        <v>25237.380821917806</v>
      </c>
      <c r="G27" s="187">
        <f>('Prelimany Data'!G23)*1000*Benefits_PO_RN!G21*'Prelimany Data'!$C$12</f>
        <v>43610.19406027395</v>
      </c>
      <c r="H27" s="188">
        <f>('Prelimany Data'!H23)*1000*Benefits_PO_RN!H21*'Prelimany Data'!$C$12</f>
        <v>58873.76198136987</v>
      </c>
    </row>
    <row r="28" spans="3:8" ht="15">
      <c r="C28" s="18"/>
      <c r="D28" s="18"/>
      <c r="E28" s="18"/>
      <c r="F28" s="18"/>
      <c r="G28" s="18"/>
      <c r="H28" s="18"/>
    </row>
    <row r="29" spans="3:8" ht="15">
      <c r="C29" s="18"/>
      <c r="D29" s="18"/>
      <c r="E29" s="18"/>
      <c r="F29" s="18"/>
      <c r="G29" s="18"/>
      <c r="H29" s="18"/>
    </row>
    <row r="30" spans="2:8" ht="15">
      <c r="B30" s="184" t="s">
        <v>255</v>
      </c>
      <c r="C30" s="18"/>
      <c r="D30" s="18"/>
      <c r="E30" s="18"/>
      <c r="F30" s="18"/>
      <c r="G30" s="18"/>
      <c r="H30" s="18"/>
    </row>
    <row r="31" ht="15.75" thickBot="1"/>
    <row r="32" spans="2:8" ht="15.75" thickBot="1">
      <c r="B32" s="63"/>
      <c r="C32" s="179">
        <v>2001</v>
      </c>
      <c r="D32" s="179">
        <v>2002</v>
      </c>
      <c r="E32" s="179">
        <v>2003</v>
      </c>
      <c r="F32" s="179">
        <v>2004</v>
      </c>
      <c r="G32" s="179">
        <v>2005</v>
      </c>
      <c r="H32" s="180">
        <v>2006</v>
      </c>
    </row>
    <row r="33" spans="2:8" ht="30">
      <c r="B33" s="20" t="s">
        <v>158</v>
      </c>
      <c r="C33" s="64">
        <f aca="true" t="shared" si="4" ref="C33:H33">C20/C18</f>
        <v>0</v>
      </c>
      <c r="D33" s="64">
        <f t="shared" si="4"/>
        <v>0.015000000000000036</v>
      </c>
      <c r="E33" s="64">
        <f t="shared" si="4"/>
        <v>0.030000000000000072</v>
      </c>
      <c r="F33" s="64">
        <f t="shared" si="4"/>
        <v>0.075</v>
      </c>
      <c r="G33" s="64">
        <f t="shared" si="4"/>
        <v>0.11999999999999993</v>
      </c>
      <c r="H33" s="64">
        <f t="shared" si="4"/>
        <v>0.15</v>
      </c>
    </row>
    <row r="34" spans="2:8" ht="45.75" thickBot="1">
      <c r="B34" s="21" t="s">
        <v>159</v>
      </c>
      <c r="C34" s="182">
        <f aca="true" t="shared" si="5" ref="C34:H34">1-SQRT(1-C33)</f>
        <v>0</v>
      </c>
      <c r="D34" s="182">
        <f t="shared" si="5"/>
        <v>0.007528337936039575</v>
      </c>
      <c r="E34" s="182">
        <f t="shared" si="5"/>
        <v>0.015114219820389518</v>
      </c>
      <c r="F34" s="182">
        <f t="shared" si="5"/>
        <v>0.03823079691643272</v>
      </c>
      <c r="G34" s="182">
        <f t="shared" si="5"/>
        <v>0.061916848035314054</v>
      </c>
      <c r="H34" s="182">
        <f t="shared" si="5"/>
        <v>0.07804555427071125</v>
      </c>
    </row>
    <row r="35" spans="2:8" ht="30.75" thickBot="1">
      <c r="B35" s="189" t="s">
        <v>46</v>
      </c>
      <c r="C35" s="187">
        <f>C34*'Prelimany Data'!$C$15*'Prelimany Data'!$C$12*1000</f>
        <v>0</v>
      </c>
      <c r="D35" s="187">
        <f>D34*'Prelimany Data'!$C$15*'Prelimany Data'!$C$12*1000</f>
        <v>13551.008284871234</v>
      </c>
      <c r="E35" s="187">
        <f>E34*'Prelimany Data'!$C$15*'Prelimany Data'!$C$12*1000</f>
        <v>27205.59567670113</v>
      </c>
      <c r="F35" s="187">
        <f>F34*'Prelimany Data'!$C$15*'Prelimany Data'!$C$12*1000</f>
        <v>68815.43444957888</v>
      </c>
      <c r="G35" s="187">
        <f>G34*'Prelimany Data'!$C$15*'Prelimany Data'!$C$12*1000</f>
        <v>111450.3264635653</v>
      </c>
      <c r="H35" s="188">
        <f>H34*'Prelimany Data'!$C$15*'Prelimany Data'!$C$12*1000</f>
        <v>140481.99768728027</v>
      </c>
    </row>
    <row r="38" ht="15.75">
      <c r="B38" s="22" t="s">
        <v>251</v>
      </c>
    </row>
    <row r="40" spans="2:7" ht="15">
      <c r="B40" s="293" t="s">
        <v>166</v>
      </c>
      <c r="C40" s="284"/>
      <c r="D40" s="284"/>
      <c r="E40" s="284"/>
      <c r="F40" s="284"/>
      <c r="G40" s="284"/>
    </row>
    <row r="41" ht="15.75" thickBot="1"/>
    <row r="42" spans="2:8" ht="15.75" thickBot="1">
      <c r="B42" s="63"/>
      <c r="C42" s="179">
        <v>2001</v>
      </c>
      <c r="D42" s="179">
        <v>2002</v>
      </c>
      <c r="E42" s="179">
        <v>2003</v>
      </c>
      <c r="F42" s="179">
        <v>2004</v>
      </c>
      <c r="G42" s="179">
        <v>2005</v>
      </c>
      <c r="H42" s="180">
        <v>2006</v>
      </c>
    </row>
    <row r="43" spans="2:8" ht="15">
      <c r="B43" s="39" t="s">
        <v>256</v>
      </c>
      <c r="C43" s="183">
        <v>0</v>
      </c>
      <c r="D43" s="183">
        <f>('Prelimany Data'!$C64*(Costs_PO_RN!$H40))*('Prelimany Data'!D45)</f>
        <v>0.75</v>
      </c>
      <c r="E43" s="183">
        <f>('Prelimany Data'!$C64*(Costs_PO_RN!$H40-D43))*('Prelimany Data'!E45)</f>
        <v>1.482692307692308</v>
      </c>
      <c r="F43" s="183">
        <f>('Prelimany Data'!$C64*(Costs_PO_RN!$H40-E43-D43))*('Prelimany Data'!F45)</f>
        <v>3.621190828402367</v>
      </c>
      <c r="G43" s="183">
        <f>('Prelimany Data'!$C64*(Costs_PO_RN!$H40-D43-F43-E43))*('Prelimany Data'!G45)</f>
        <v>5.459641556668184</v>
      </c>
      <c r="H43" s="183">
        <f>('Prelimany Data'!$C64*(Costs_PO_RN!$H40-D43-E43-G43-F43))*('Prelimany Data'!H45)</f>
        <v>6.1945933046812085</v>
      </c>
    </row>
    <row r="44" spans="2:8" ht="15">
      <c r="B44" s="24" t="s">
        <v>163</v>
      </c>
      <c r="C44" s="130">
        <f>Costs_PO_RN!$H41</f>
        <v>69615.38461538461</v>
      </c>
      <c r="D44" s="130">
        <f>Costs_PO_RN!$H41</f>
        <v>69615.38461538461</v>
      </c>
      <c r="E44" s="130">
        <f>Costs_PO_RN!$H41</f>
        <v>69615.38461538461</v>
      </c>
      <c r="F44" s="130">
        <f>Costs_PO_RN!$H41</f>
        <v>69615.38461538461</v>
      </c>
      <c r="G44" s="130">
        <f>Costs_PO_RN!$H41</f>
        <v>69615.38461538461</v>
      </c>
      <c r="H44" s="130">
        <f>Costs_PO_RN!$H41</f>
        <v>69615.38461538461</v>
      </c>
    </row>
    <row r="45" spans="2:8" ht="15" customHeight="1" thickBot="1">
      <c r="B45" s="185" t="s">
        <v>61</v>
      </c>
      <c r="C45" s="186">
        <f aca="true" t="shared" si="6" ref="C45:H45">(C43*C44)</f>
        <v>0</v>
      </c>
      <c r="D45" s="186">
        <f t="shared" si="6"/>
        <v>52211.538461538454</v>
      </c>
      <c r="E45" s="186">
        <f t="shared" si="6"/>
        <v>103218.1952662722</v>
      </c>
      <c r="F45" s="186">
        <f t="shared" si="6"/>
        <v>252090.59228493398</v>
      </c>
      <c r="G45" s="186">
        <f t="shared" si="6"/>
        <v>380075.0468295928</v>
      </c>
      <c r="H45" s="186">
        <f t="shared" si="6"/>
        <v>431238.9954412687</v>
      </c>
    </row>
    <row r="50" ht="15.75" thickBot="1"/>
    <row r="51" spans="4:6" ht="15">
      <c r="D51" s="246" t="s">
        <v>193</v>
      </c>
      <c r="E51" s="247"/>
      <c r="F51" s="248"/>
    </row>
    <row r="52" spans="4:6" ht="15">
      <c r="D52" s="249"/>
      <c r="E52" s="250"/>
      <c r="F52" s="251"/>
    </row>
    <row r="53" spans="4:6" ht="15.75" thickBot="1">
      <c r="D53" s="252"/>
      <c r="E53" s="253"/>
      <c r="F53" s="254"/>
    </row>
  </sheetData>
  <mergeCells count="3">
    <mergeCell ref="D51:F53"/>
    <mergeCell ref="B5:H5"/>
    <mergeCell ref="B40:G4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60"/>
  <sheetViews>
    <sheetView workbookViewId="0" topLeftCell="A1">
      <selection activeCell="E54" sqref="E54"/>
    </sheetView>
  </sheetViews>
  <sheetFormatPr defaultColWidth="9.140625" defaultRowHeight="12.75"/>
  <cols>
    <col min="1" max="1" width="9.140625" style="19" customWidth="1"/>
    <col min="2" max="2" width="37.8515625" style="19" customWidth="1"/>
    <col min="3" max="3" width="10.28125" style="19" bestFit="1" customWidth="1"/>
    <col min="4" max="5" width="11.00390625" style="19" bestFit="1" customWidth="1"/>
    <col min="6" max="8" width="12.7109375" style="19" bestFit="1" customWidth="1"/>
    <col min="9" max="16384" width="9.140625" style="19" customWidth="1"/>
  </cols>
  <sheetData>
    <row r="1" ht="15.75">
      <c r="A1" s="17" t="s">
        <v>173</v>
      </c>
    </row>
    <row r="3" ht="15" customHeight="1" thickBot="1"/>
    <row r="4" spans="2:8" ht="32.25" customHeight="1">
      <c r="B4" s="242" t="s">
        <v>288</v>
      </c>
      <c r="C4" s="295"/>
      <c r="D4" s="295"/>
      <c r="E4" s="295"/>
      <c r="F4" s="295"/>
      <c r="G4" s="295"/>
      <c r="H4" s="190">
        <v>2000</v>
      </c>
    </row>
    <row r="5" spans="2:8" ht="36" customHeight="1">
      <c r="B5" s="291" t="s">
        <v>289</v>
      </c>
      <c r="C5" s="297"/>
      <c r="D5" s="297"/>
      <c r="E5" s="297"/>
      <c r="F5" s="297"/>
      <c r="G5" s="297"/>
      <c r="H5" s="191">
        <v>2000</v>
      </c>
    </row>
    <row r="6" spans="2:8" ht="15.75" thickBot="1">
      <c r="B6" s="244" t="s">
        <v>170</v>
      </c>
      <c r="C6" s="294"/>
      <c r="D6" s="294"/>
      <c r="E6" s="294"/>
      <c r="F6" s="294"/>
      <c r="G6" s="294"/>
      <c r="H6" s="192">
        <f>H4+H5</f>
        <v>4000</v>
      </c>
    </row>
    <row r="8" ht="15.75">
      <c r="B8" s="17" t="s">
        <v>257</v>
      </c>
    </row>
    <row r="9" spans="1:2" ht="16.5" thickBot="1">
      <c r="A9" s="17"/>
      <c r="B9" s="18"/>
    </row>
    <row r="10" spans="2:8" ht="15.75" thickBot="1">
      <c r="B10" s="63"/>
      <c r="C10" s="179">
        <v>2001</v>
      </c>
      <c r="D10" s="179">
        <v>2002</v>
      </c>
      <c r="E10" s="179">
        <v>2003</v>
      </c>
      <c r="F10" s="179">
        <v>2004</v>
      </c>
      <c r="G10" s="179">
        <v>2005</v>
      </c>
      <c r="H10" s="180">
        <v>2006</v>
      </c>
    </row>
    <row r="11" spans="2:8" ht="18.75" customHeight="1">
      <c r="B11" s="39" t="s">
        <v>15</v>
      </c>
      <c r="C11" s="193">
        <v>0</v>
      </c>
      <c r="D11" s="194">
        <v>0.1</v>
      </c>
      <c r="E11" s="194">
        <v>0.1</v>
      </c>
      <c r="F11" s="194">
        <v>0.1</v>
      </c>
      <c r="G11" s="194">
        <v>0.1</v>
      </c>
      <c r="H11" s="195">
        <v>0.1</v>
      </c>
    </row>
    <row r="12" spans="2:8" ht="18.75" customHeight="1" thickBot="1">
      <c r="B12" s="26" t="s">
        <v>181</v>
      </c>
      <c r="C12" s="79">
        <f>H6</f>
        <v>4000</v>
      </c>
      <c r="D12" s="79">
        <f>(1+D11)*C12</f>
        <v>4400</v>
      </c>
      <c r="E12" s="79">
        <f>(1+E11)*D12</f>
        <v>4840</v>
      </c>
      <c r="F12" s="79">
        <f>(1+F11)*E12</f>
        <v>5324</v>
      </c>
      <c r="G12" s="79">
        <f>(1+G11)*F12</f>
        <v>5856.400000000001</v>
      </c>
      <c r="H12" s="79">
        <f>(1+H11)*G12</f>
        <v>6442.040000000001</v>
      </c>
    </row>
    <row r="13" ht="15">
      <c r="B13" s="18"/>
    </row>
    <row r="14" ht="15.75">
      <c r="B14" s="17" t="s">
        <v>174</v>
      </c>
    </row>
    <row r="15" ht="15.75" thickBot="1"/>
    <row r="16" spans="2:9" ht="31.5" customHeight="1">
      <c r="B16" s="242" t="s">
        <v>258</v>
      </c>
      <c r="C16" s="295"/>
      <c r="D16" s="295"/>
      <c r="E16" s="295"/>
      <c r="F16" s="295"/>
      <c r="G16" s="295"/>
      <c r="H16" s="31">
        <v>10</v>
      </c>
      <c r="I16" s="19" t="s">
        <v>192</v>
      </c>
    </row>
    <row r="17" spans="2:9" ht="33" customHeight="1" thickBot="1">
      <c r="B17" s="244" t="s">
        <v>175</v>
      </c>
      <c r="C17" s="294"/>
      <c r="D17" s="294"/>
      <c r="E17" s="294"/>
      <c r="F17" s="294"/>
      <c r="G17" s="294"/>
      <c r="H17" s="75">
        <v>6</v>
      </c>
      <c r="I17" s="19" t="s">
        <v>192</v>
      </c>
    </row>
    <row r="19" ht="15">
      <c r="B19" s="19" t="s">
        <v>29</v>
      </c>
    </row>
    <row r="20" s="17" customFormat="1" ht="15.75">
      <c r="B20" s="17" t="s">
        <v>259</v>
      </c>
    </row>
    <row r="21" ht="15.75" thickBot="1">
      <c r="B21" s="18"/>
    </row>
    <row r="22" spans="2:8" ht="15.75" thickBot="1">
      <c r="B22" s="63"/>
      <c r="C22" s="179">
        <v>2001</v>
      </c>
      <c r="D22" s="179">
        <v>2002</v>
      </c>
      <c r="E22" s="179">
        <v>2003</v>
      </c>
      <c r="F22" s="179">
        <v>2004</v>
      </c>
      <c r="G22" s="179">
        <v>2005</v>
      </c>
      <c r="H22" s="196">
        <v>2006</v>
      </c>
    </row>
    <row r="23" spans="2:8" ht="15">
      <c r="B23" s="39" t="s">
        <v>12</v>
      </c>
      <c r="C23" s="194">
        <v>0.85</v>
      </c>
      <c r="D23" s="194">
        <v>0.75</v>
      </c>
      <c r="E23" s="194">
        <v>0.65</v>
      </c>
      <c r="F23" s="194">
        <v>0.5</v>
      </c>
      <c r="G23" s="194">
        <v>0.4</v>
      </c>
      <c r="H23" s="195">
        <v>0.3</v>
      </c>
    </row>
    <row r="24" spans="2:8" ht="15">
      <c r="B24" s="24" t="s">
        <v>13</v>
      </c>
      <c r="C24" s="76">
        <v>0.15</v>
      </c>
      <c r="D24" s="76">
        <v>0.15</v>
      </c>
      <c r="E24" s="76">
        <v>0.15</v>
      </c>
      <c r="F24" s="76">
        <v>0.1</v>
      </c>
      <c r="G24" s="76">
        <v>0.1</v>
      </c>
      <c r="H24" s="77">
        <v>0</v>
      </c>
    </row>
    <row r="25" spans="2:8" ht="15">
      <c r="B25" s="24" t="s">
        <v>230</v>
      </c>
      <c r="C25" s="76">
        <v>0</v>
      </c>
      <c r="D25" s="76">
        <v>0</v>
      </c>
      <c r="E25" s="76">
        <v>0</v>
      </c>
      <c r="F25" s="76">
        <v>0</v>
      </c>
      <c r="G25" s="76">
        <v>0</v>
      </c>
      <c r="H25" s="77">
        <v>0</v>
      </c>
    </row>
    <row r="26" spans="2:8" ht="15.75" thickBot="1">
      <c r="B26" s="21" t="s">
        <v>14</v>
      </c>
      <c r="C26" s="197">
        <v>0</v>
      </c>
      <c r="D26" s="197">
        <v>0.1</v>
      </c>
      <c r="E26" s="197">
        <v>0.2</v>
      </c>
      <c r="F26" s="197">
        <v>0.4</v>
      </c>
      <c r="G26" s="197">
        <v>0.5</v>
      </c>
      <c r="H26" s="198">
        <v>0.7</v>
      </c>
    </row>
    <row r="27" spans="2:8" ht="15.75" thickBot="1">
      <c r="B27" s="63" t="s">
        <v>154</v>
      </c>
      <c r="C27" s="199">
        <f aca="true" t="shared" si="0" ref="C27:H27">C23+C24+C25+C26</f>
        <v>1</v>
      </c>
      <c r="D27" s="199">
        <f t="shared" si="0"/>
        <v>1</v>
      </c>
      <c r="E27" s="199">
        <f t="shared" si="0"/>
        <v>1</v>
      </c>
      <c r="F27" s="199">
        <f t="shared" si="0"/>
        <v>1</v>
      </c>
      <c r="G27" s="199">
        <f t="shared" si="0"/>
        <v>1</v>
      </c>
      <c r="H27" s="200">
        <f t="shared" si="0"/>
        <v>1</v>
      </c>
    </row>
    <row r="29" ht="15.75" thickBot="1"/>
    <row r="30" spans="2:8" ht="15">
      <c r="B30" s="242" t="s">
        <v>177</v>
      </c>
      <c r="C30" s="295"/>
      <c r="D30" s="295"/>
      <c r="E30" s="295"/>
      <c r="F30" s="295"/>
      <c r="G30" s="295"/>
      <c r="H30" s="47">
        <v>15</v>
      </c>
    </row>
    <row r="31" spans="2:9" ht="30" customHeight="1" thickBot="1">
      <c r="B31" s="244" t="s">
        <v>183</v>
      </c>
      <c r="C31" s="296"/>
      <c r="D31" s="296"/>
      <c r="E31" s="296"/>
      <c r="F31" s="296"/>
      <c r="G31" s="296"/>
      <c r="H31" s="131">
        <v>10</v>
      </c>
      <c r="I31" s="78"/>
    </row>
    <row r="33" ht="15.75">
      <c r="B33" s="17" t="s">
        <v>274</v>
      </c>
    </row>
    <row r="34" spans="1:2" ht="15.75" thickBot="1">
      <c r="A34" s="19" t="s">
        <v>29</v>
      </c>
      <c r="B34" s="18"/>
    </row>
    <row r="35" spans="2:3" ht="18.75" customHeight="1" thickBot="1">
      <c r="B35" s="63" t="s">
        <v>276</v>
      </c>
      <c r="C35" s="219">
        <v>8</v>
      </c>
    </row>
    <row r="36" spans="2:3" ht="15.75" thickBot="1">
      <c r="B36" s="63" t="s">
        <v>290</v>
      </c>
      <c r="C36" s="218">
        <v>70000</v>
      </c>
    </row>
    <row r="37" spans="2:3" ht="15.75" thickBot="1">
      <c r="B37" s="63" t="s">
        <v>275</v>
      </c>
      <c r="C37" s="215">
        <v>0.3</v>
      </c>
    </row>
    <row r="39" ht="15.75">
      <c r="A39" s="17" t="s">
        <v>184</v>
      </c>
    </row>
    <row r="40" ht="15.75" thickBot="1"/>
    <row r="41" spans="2:8" ht="15.75" thickBot="1">
      <c r="B41" s="63"/>
      <c r="C41" s="179">
        <v>2001</v>
      </c>
      <c r="D41" s="179">
        <v>2002</v>
      </c>
      <c r="E41" s="179">
        <v>2003</v>
      </c>
      <c r="F41" s="179">
        <v>2004</v>
      </c>
      <c r="G41" s="179">
        <v>2005</v>
      </c>
      <c r="H41" s="180">
        <v>2006</v>
      </c>
    </row>
    <row r="42" spans="2:8" ht="30">
      <c r="B42" s="24" t="s">
        <v>179</v>
      </c>
      <c r="C42" s="130">
        <f aca="true" t="shared" si="1" ref="C42:H42">$H$30*C12</f>
        <v>60000</v>
      </c>
      <c r="D42" s="130">
        <f t="shared" si="1"/>
        <v>66000</v>
      </c>
      <c r="E42" s="130">
        <f t="shared" si="1"/>
        <v>72600</v>
      </c>
      <c r="F42" s="130">
        <f t="shared" si="1"/>
        <v>79860</v>
      </c>
      <c r="G42" s="130">
        <f t="shared" si="1"/>
        <v>87846.00000000001</v>
      </c>
      <c r="H42" s="130">
        <f t="shared" si="1"/>
        <v>96630.6</v>
      </c>
    </row>
    <row r="43" spans="2:8" ht="30">
      <c r="B43" s="21" t="s">
        <v>180</v>
      </c>
      <c r="C43" s="202">
        <f aca="true" t="shared" si="2" ref="C43:H43">(((1-C26)*$H$30)+(C26*$H$31))*C12</f>
        <v>60000</v>
      </c>
      <c r="D43" s="202">
        <f t="shared" si="2"/>
        <v>63800</v>
      </c>
      <c r="E43" s="202">
        <f t="shared" si="2"/>
        <v>67760</v>
      </c>
      <c r="F43" s="202">
        <f t="shared" si="2"/>
        <v>69212</v>
      </c>
      <c r="G43" s="202">
        <f t="shared" si="2"/>
        <v>73205</v>
      </c>
      <c r="H43" s="202">
        <f t="shared" si="2"/>
        <v>74083.46</v>
      </c>
    </row>
    <row r="44" spans="2:8" ht="15.75" thickBot="1">
      <c r="B44" s="201" t="s">
        <v>178</v>
      </c>
      <c r="C44" s="186">
        <f aca="true" t="shared" si="3" ref="C44:H44">C42-C43</f>
        <v>0</v>
      </c>
      <c r="D44" s="186">
        <f t="shared" si="3"/>
        <v>2200</v>
      </c>
      <c r="E44" s="186">
        <f t="shared" si="3"/>
        <v>4840</v>
      </c>
      <c r="F44" s="186">
        <f t="shared" si="3"/>
        <v>10648</v>
      </c>
      <c r="G44" s="186">
        <f t="shared" si="3"/>
        <v>14641.000000000015</v>
      </c>
      <c r="H44" s="186">
        <f t="shared" si="3"/>
        <v>22547.14</v>
      </c>
    </row>
    <row r="47" ht="15.75">
      <c r="B47" s="22" t="s">
        <v>251</v>
      </c>
    </row>
    <row r="48" ht="15">
      <c r="B48" s="18"/>
    </row>
    <row r="49" spans="2:7" ht="15">
      <c r="B49" s="293" t="s">
        <v>166</v>
      </c>
      <c r="C49" s="284"/>
      <c r="D49" s="284"/>
      <c r="E49" s="284"/>
      <c r="F49" s="284"/>
      <c r="G49" s="284"/>
    </row>
    <row r="50" ht="15.75" thickBot="1">
      <c r="B50" s="18"/>
    </row>
    <row r="51" spans="2:8" ht="15.75" thickBot="1">
      <c r="B51" s="63"/>
      <c r="C51" s="179">
        <v>2001</v>
      </c>
      <c r="D51" s="179">
        <v>2002</v>
      </c>
      <c r="E51" s="179">
        <v>2003</v>
      </c>
      <c r="F51" s="179">
        <v>2004</v>
      </c>
      <c r="G51" s="179">
        <v>2005</v>
      </c>
      <c r="H51" s="180">
        <v>2006</v>
      </c>
    </row>
    <row r="52" spans="2:8" ht="15">
      <c r="B52" s="24" t="s">
        <v>256</v>
      </c>
      <c r="C52" s="129">
        <v>0</v>
      </c>
      <c r="D52" s="129">
        <f>$C$37*$C$35*D26</f>
        <v>0.24</v>
      </c>
      <c r="E52" s="129">
        <f>$C$37*$C$35*E26</f>
        <v>0.48</v>
      </c>
      <c r="F52" s="129">
        <f>$C$37*$C$35*F26</f>
        <v>0.96</v>
      </c>
      <c r="G52" s="129">
        <f>$C$37*$C$35*G26</f>
        <v>1.2</v>
      </c>
      <c r="H52" s="220">
        <f>$C$37*$C$35*H26</f>
        <v>1.68</v>
      </c>
    </row>
    <row r="53" spans="2:8" ht="15">
      <c r="B53" s="24" t="s">
        <v>163</v>
      </c>
      <c r="C53" s="130">
        <f aca="true" t="shared" si="4" ref="C53:H53">$C$36</f>
        <v>70000</v>
      </c>
      <c r="D53" s="130">
        <f t="shared" si="4"/>
        <v>70000</v>
      </c>
      <c r="E53" s="130">
        <f t="shared" si="4"/>
        <v>70000</v>
      </c>
      <c r="F53" s="130">
        <f t="shared" si="4"/>
        <v>70000</v>
      </c>
      <c r="G53" s="130">
        <f t="shared" si="4"/>
        <v>70000</v>
      </c>
      <c r="H53" s="133">
        <f t="shared" si="4"/>
        <v>70000</v>
      </c>
    </row>
    <row r="54" spans="2:8" ht="15" customHeight="1" thickBot="1">
      <c r="B54" s="185" t="s">
        <v>61</v>
      </c>
      <c r="C54" s="186">
        <f aca="true" t="shared" si="5" ref="C54:H54">(C52*C53)</f>
        <v>0</v>
      </c>
      <c r="D54" s="186">
        <f t="shared" si="5"/>
        <v>16800</v>
      </c>
      <c r="E54" s="186">
        <f t="shared" si="5"/>
        <v>33600</v>
      </c>
      <c r="F54" s="186">
        <f t="shared" si="5"/>
        <v>67200</v>
      </c>
      <c r="G54" s="186">
        <f t="shared" si="5"/>
        <v>84000</v>
      </c>
      <c r="H54" s="221">
        <f t="shared" si="5"/>
        <v>117600</v>
      </c>
    </row>
    <row r="55" ht="15">
      <c r="B55" s="18"/>
    </row>
    <row r="57" ht="15.75" thickBot="1"/>
    <row r="58" spans="3:5" ht="15">
      <c r="C58" s="246" t="s">
        <v>193</v>
      </c>
      <c r="D58" s="247"/>
      <c r="E58" s="248"/>
    </row>
    <row r="59" spans="3:5" ht="15">
      <c r="C59" s="249"/>
      <c r="D59" s="250"/>
      <c r="E59" s="251"/>
    </row>
    <row r="60" spans="3:5" ht="15.75" thickBot="1">
      <c r="C60" s="252"/>
      <c r="D60" s="253"/>
      <c r="E60" s="254"/>
    </row>
  </sheetData>
  <mergeCells count="9">
    <mergeCell ref="B4:G4"/>
    <mergeCell ref="B5:G5"/>
    <mergeCell ref="B6:G6"/>
    <mergeCell ref="B16:G16"/>
    <mergeCell ref="C58:E60"/>
    <mergeCell ref="B17:G17"/>
    <mergeCell ref="B30:G30"/>
    <mergeCell ref="B31:G31"/>
    <mergeCell ref="B49:G49"/>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J61"/>
  <sheetViews>
    <sheetView workbookViewId="0" topLeftCell="A1">
      <selection activeCell="C47" sqref="C47"/>
    </sheetView>
  </sheetViews>
  <sheetFormatPr defaultColWidth="9.140625" defaultRowHeight="12.75"/>
  <cols>
    <col min="1" max="1" width="9.140625" style="19" customWidth="1"/>
    <col min="2" max="2" width="42.28125" style="19" customWidth="1"/>
    <col min="3" max="3" width="12.7109375" style="19" bestFit="1" customWidth="1"/>
    <col min="4" max="4" width="10.8515625" style="19" bestFit="1" customWidth="1"/>
    <col min="5" max="16384" width="9.140625" style="19" customWidth="1"/>
  </cols>
  <sheetData>
    <row r="2" spans="1:8" ht="15">
      <c r="A2" s="301" t="s">
        <v>215</v>
      </c>
      <c r="B2" s="283"/>
      <c r="C2" s="283"/>
      <c r="D2" s="283"/>
      <c r="E2" s="283"/>
      <c r="F2" s="283"/>
      <c r="G2" s="283"/>
      <c r="H2" s="283"/>
    </row>
    <row r="3" spans="1:8" ht="15">
      <c r="A3" s="283"/>
      <c r="B3" s="283"/>
      <c r="C3" s="283"/>
      <c r="D3" s="283"/>
      <c r="E3" s="283"/>
      <c r="F3" s="283"/>
      <c r="G3" s="283"/>
      <c r="H3" s="283"/>
    </row>
    <row r="4" spans="1:8" ht="69.75" customHeight="1">
      <c r="A4" s="283"/>
      <c r="B4" s="283"/>
      <c r="C4" s="283"/>
      <c r="D4" s="283"/>
      <c r="E4" s="283"/>
      <c r="F4" s="283"/>
      <c r="G4" s="283"/>
      <c r="H4" s="283"/>
    </row>
    <row r="5" s="164" customFormat="1" ht="19.5" customHeight="1"/>
    <row r="6" spans="1:8" ht="15">
      <c r="A6" s="18"/>
      <c r="B6" s="18"/>
      <c r="C6" s="18"/>
      <c r="D6" s="18"/>
      <c r="E6" s="18"/>
      <c r="F6" s="18"/>
      <c r="G6" s="18"/>
      <c r="H6" s="18"/>
    </row>
    <row r="7" spans="1:2" s="17" customFormat="1" ht="15.75">
      <c r="A7" s="17" t="s">
        <v>28</v>
      </c>
      <c r="B7" s="22"/>
    </row>
    <row r="8" ht="15.75" thickBot="1">
      <c r="B8" s="18"/>
    </row>
    <row r="9" spans="2:8" ht="15">
      <c r="B9" s="20"/>
      <c r="C9" s="29">
        <v>2001</v>
      </c>
      <c r="D9" s="29">
        <v>2002</v>
      </c>
      <c r="E9" s="29">
        <v>2003</v>
      </c>
      <c r="F9" s="29">
        <v>2004</v>
      </c>
      <c r="G9" s="29">
        <v>2005</v>
      </c>
      <c r="H9" s="34">
        <v>2006</v>
      </c>
    </row>
    <row r="10" spans="2:8" ht="18.75" customHeight="1">
      <c r="B10" s="24" t="s">
        <v>12</v>
      </c>
      <c r="C10" s="76">
        <v>0.85</v>
      </c>
      <c r="D10" s="76">
        <v>0.75</v>
      </c>
      <c r="E10" s="76">
        <v>0.65</v>
      </c>
      <c r="F10" s="76">
        <v>0.5</v>
      </c>
      <c r="G10" s="76">
        <v>0.4</v>
      </c>
      <c r="H10" s="77">
        <v>0.35</v>
      </c>
    </row>
    <row r="11" spans="2:8" ht="18.75" customHeight="1">
      <c r="B11" s="24" t="s">
        <v>13</v>
      </c>
      <c r="C11" s="76">
        <v>0.15</v>
      </c>
      <c r="D11" s="76">
        <v>0.2</v>
      </c>
      <c r="E11" s="76">
        <v>0.25</v>
      </c>
      <c r="F11" s="76">
        <v>0.35</v>
      </c>
      <c r="G11" s="76">
        <v>0.35</v>
      </c>
      <c r="H11" s="77">
        <v>0.25</v>
      </c>
    </row>
    <row r="12" spans="2:8" ht="18.75" customHeight="1">
      <c r="B12" s="24" t="s">
        <v>230</v>
      </c>
      <c r="C12" s="76">
        <v>0</v>
      </c>
      <c r="D12" s="76">
        <v>0</v>
      </c>
      <c r="E12" s="76">
        <v>0</v>
      </c>
      <c r="F12" s="76">
        <v>0</v>
      </c>
      <c r="G12" s="76">
        <v>0</v>
      </c>
      <c r="H12" s="77">
        <v>0</v>
      </c>
    </row>
    <row r="13" spans="2:8" ht="18.75" customHeight="1">
      <c r="B13" s="24" t="s">
        <v>260</v>
      </c>
      <c r="C13" s="76">
        <v>0</v>
      </c>
      <c r="D13" s="76">
        <v>0.05</v>
      </c>
      <c r="E13" s="76">
        <v>0.1</v>
      </c>
      <c r="F13" s="76">
        <v>0.15</v>
      </c>
      <c r="G13" s="76">
        <v>0.25</v>
      </c>
      <c r="H13" s="77">
        <v>0.4</v>
      </c>
    </row>
    <row r="14" spans="2:8" ht="18.75" customHeight="1" thickBot="1">
      <c r="B14" s="26" t="s">
        <v>154</v>
      </c>
      <c r="C14" s="35">
        <f aca="true" t="shared" si="0" ref="C14:H14">SUM(C10:C13)</f>
        <v>1</v>
      </c>
      <c r="D14" s="35">
        <f t="shared" si="0"/>
        <v>1</v>
      </c>
      <c r="E14" s="35">
        <f t="shared" si="0"/>
        <v>1</v>
      </c>
      <c r="F14" s="35">
        <f t="shared" si="0"/>
        <v>1</v>
      </c>
      <c r="G14" s="35">
        <f t="shared" si="0"/>
        <v>1</v>
      </c>
      <c r="H14" s="139">
        <f t="shared" si="0"/>
        <v>1</v>
      </c>
    </row>
    <row r="15" spans="2:8" ht="15">
      <c r="B15" s="28"/>
      <c r="C15" s="140"/>
      <c r="D15" s="140"/>
      <c r="E15" s="140"/>
      <c r="F15" s="140"/>
      <c r="G15" s="140"/>
      <c r="H15" s="140"/>
    </row>
    <row r="16" spans="2:8" ht="15.75" thickBot="1">
      <c r="B16" s="28"/>
      <c r="C16" s="140"/>
      <c r="D16" s="140"/>
      <c r="E16" s="140"/>
      <c r="F16" s="140"/>
      <c r="G16" s="140"/>
      <c r="H16" s="140"/>
    </row>
    <row r="17" spans="2:9" ht="18.75" customHeight="1">
      <c r="B17" s="242" t="s">
        <v>148</v>
      </c>
      <c r="C17" s="243"/>
      <c r="D17" s="243"/>
      <c r="E17" s="243"/>
      <c r="F17" s="243"/>
      <c r="G17" s="243"/>
      <c r="H17" s="30">
        <f>Analysis_WEBAPP!C11</f>
        <v>10</v>
      </c>
      <c r="I17" s="19" t="s">
        <v>149</v>
      </c>
    </row>
    <row r="18" spans="2:9" ht="18.75" customHeight="1" thickBot="1">
      <c r="B18" s="244" t="s">
        <v>195</v>
      </c>
      <c r="C18" s="245"/>
      <c r="D18" s="245"/>
      <c r="E18" s="245"/>
      <c r="F18" s="245"/>
      <c r="G18" s="245"/>
      <c r="H18" s="27">
        <v>8</v>
      </c>
      <c r="I18" s="19" t="s">
        <v>149</v>
      </c>
    </row>
    <row r="19" spans="2:8" ht="15">
      <c r="B19" s="28"/>
      <c r="C19" s="140"/>
      <c r="D19" s="140"/>
      <c r="E19" s="140"/>
      <c r="F19" s="140"/>
      <c r="G19" s="140"/>
      <c r="H19" s="140"/>
    </row>
    <row r="20" ht="15.75">
      <c r="B20" s="17" t="s">
        <v>174</v>
      </c>
    </row>
    <row r="21" ht="15.75" thickBot="1"/>
    <row r="22" spans="2:9" ht="31.5" customHeight="1">
      <c r="B22" s="242" t="s">
        <v>182</v>
      </c>
      <c r="C22" s="295"/>
      <c r="D22" s="295"/>
      <c r="E22" s="295"/>
      <c r="F22" s="295"/>
      <c r="G22" s="295"/>
      <c r="H22" s="31">
        <v>10</v>
      </c>
      <c r="I22" s="19" t="s">
        <v>192</v>
      </c>
    </row>
    <row r="23" spans="2:9" ht="37.5" customHeight="1" thickBot="1">
      <c r="B23" s="244" t="s">
        <v>196</v>
      </c>
      <c r="C23" s="294"/>
      <c r="D23" s="294"/>
      <c r="E23" s="294"/>
      <c r="F23" s="294"/>
      <c r="G23" s="294"/>
      <c r="H23" s="75">
        <v>8</v>
      </c>
      <c r="I23" s="19" t="s">
        <v>192</v>
      </c>
    </row>
    <row r="24" spans="2:8" ht="18" customHeight="1">
      <c r="B24" s="28"/>
      <c r="C24" s="28"/>
      <c r="D24" s="28"/>
      <c r="E24" s="28"/>
      <c r="F24" s="28"/>
      <c r="G24" s="28"/>
      <c r="H24" s="141"/>
    </row>
    <row r="25" ht="15">
      <c r="B25" s="19" t="s">
        <v>29</v>
      </c>
    </row>
    <row r="26" s="17" customFormat="1" ht="15.75">
      <c r="B26" s="17" t="s">
        <v>176</v>
      </c>
    </row>
    <row r="27" ht="15.75" thickBot="1">
      <c r="B27" s="18"/>
    </row>
    <row r="28" spans="2:8" ht="15">
      <c r="B28" s="20"/>
      <c r="C28" s="29">
        <v>2001</v>
      </c>
      <c r="D28" s="29">
        <v>2002</v>
      </c>
      <c r="E28" s="29">
        <v>2003</v>
      </c>
      <c r="F28" s="29">
        <v>2004</v>
      </c>
      <c r="G28" s="29">
        <v>2005</v>
      </c>
      <c r="H28" s="34">
        <v>2006</v>
      </c>
    </row>
    <row r="29" spans="2:8" ht="15">
      <c r="B29" s="24" t="s">
        <v>12</v>
      </c>
      <c r="C29" s="76">
        <v>0.75</v>
      </c>
      <c r="D29" s="76">
        <v>0.7</v>
      </c>
      <c r="E29" s="76">
        <v>0.7</v>
      </c>
      <c r="F29" s="76">
        <v>0.65</v>
      </c>
      <c r="G29" s="76">
        <v>0.6</v>
      </c>
      <c r="H29" s="77">
        <v>0.55</v>
      </c>
    </row>
    <row r="30" spans="2:8" ht="15">
      <c r="B30" s="24" t="s">
        <v>13</v>
      </c>
      <c r="C30" s="76">
        <v>0.25</v>
      </c>
      <c r="D30" s="76">
        <v>0.25</v>
      </c>
      <c r="E30" s="76">
        <v>0.2</v>
      </c>
      <c r="F30" s="76">
        <v>0.2</v>
      </c>
      <c r="G30" s="76">
        <v>0.2</v>
      </c>
      <c r="H30" s="77">
        <v>0.2</v>
      </c>
    </row>
    <row r="31" spans="2:8" ht="15">
      <c r="B31" s="24" t="s">
        <v>230</v>
      </c>
      <c r="C31" s="76">
        <v>0</v>
      </c>
      <c r="D31" s="76">
        <v>0</v>
      </c>
      <c r="E31" s="76">
        <v>0</v>
      </c>
      <c r="F31" s="76">
        <v>0</v>
      </c>
      <c r="G31" s="76">
        <v>0</v>
      </c>
      <c r="H31" s="77">
        <v>0</v>
      </c>
    </row>
    <row r="32" spans="2:8" ht="15">
      <c r="B32" s="24" t="s">
        <v>260</v>
      </c>
      <c r="C32" s="76">
        <v>0</v>
      </c>
      <c r="D32" s="76">
        <v>0.05</v>
      </c>
      <c r="E32" s="76">
        <v>0.1</v>
      </c>
      <c r="F32" s="76">
        <v>0.15</v>
      </c>
      <c r="G32" s="76">
        <v>0.2</v>
      </c>
      <c r="H32" s="77">
        <v>0.25</v>
      </c>
    </row>
    <row r="33" spans="2:8" ht="15.75" thickBot="1">
      <c r="B33" s="26" t="s">
        <v>154</v>
      </c>
      <c r="C33" s="35">
        <f aca="true" t="shared" si="1" ref="C33:H33">SUM(C29:C32)</f>
        <v>1</v>
      </c>
      <c r="D33" s="35">
        <f t="shared" si="1"/>
        <v>1</v>
      </c>
      <c r="E33" s="35">
        <f t="shared" si="1"/>
        <v>0.9999999999999999</v>
      </c>
      <c r="F33" s="35">
        <f t="shared" si="1"/>
        <v>1</v>
      </c>
      <c r="G33" s="35">
        <f t="shared" si="1"/>
        <v>1</v>
      </c>
      <c r="H33" s="139">
        <f t="shared" si="1"/>
        <v>1</v>
      </c>
    </row>
    <row r="35" ht="15.75" thickBot="1"/>
    <row r="36" spans="2:8" ht="15">
      <c r="B36" s="242" t="s">
        <v>177</v>
      </c>
      <c r="C36" s="295"/>
      <c r="D36" s="295"/>
      <c r="E36" s="295"/>
      <c r="F36" s="295"/>
      <c r="G36" s="295"/>
      <c r="H36" s="47">
        <v>15</v>
      </c>
    </row>
    <row r="37" spans="2:9" ht="30" customHeight="1" thickBot="1">
      <c r="B37" s="244" t="s">
        <v>183</v>
      </c>
      <c r="C37" s="296"/>
      <c r="D37" s="296"/>
      <c r="E37" s="296"/>
      <c r="F37" s="296"/>
      <c r="G37" s="296"/>
      <c r="H37" s="131">
        <v>10</v>
      </c>
      <c r="I37" s="78"/>
    </row>
    <row r="40" spans="1:2" s="17" customFormat="1" ht="15.75">
      <c r="A40" s="17" t="s">
        <v>5</v>
      </c>
      <c r="B40" s="22"/>
    </row>
    <row r="41" ht="15.75" thickBot="1">
      <c r="B41" s="18"/>
    </row>
    <row r="42" spans="2:4" ht="15.75">
      <c r="B42" s="36" t="s">
        <v>23</v>
      </c>
      <c r="C42" s="37"/>
      <c r="D42" s="38"/>
    </row>
    <row r="43" spans="2:4" ht="18.75" customHeight="1">
      <c r="B43" s="39" t="s">
        <v>1</v>
      </c>
      <c r="C43" s="40">
        <v>500000</v>
      </c>
      <c r="D43" s="41" t="s">
        <v>29</v>
      </c>
    </row>
    <row r="44" spans="2:4" ht="37.5" customHeight="1">
      <c r="B44" s="24" t="s">
        <v>142</v>
      </c>
      <c r="C44" s="142">
        <v>0.333333</v>
      </c>
      <c r="D44" s="123">
        <f>C43*C44</f>
        <v>166666.5</v>
      </c>
    </row>
    <row r="45" spans="2:4" ht="15">
      <c r="B45" s="24"/>
      <c r="C45" s="42"/>
      <c r="D45" s="41"/>
    </row>
    <row r="46" spans="2:4" ht="37.5" customHeight="1">
      <c r="B46" s="24" t="s">
        <v>47</v>
      </c>
      <c r="C46" s="43">
        <v>1000000</v>
      </c>
      <c r="D46" s="41" t="s">
        <v>29</v>
      </c>
    </row>
    <row r="47" spans="2:4" ht="37.5" customHeight="1">
      <c r="B47" s="24" t="s">
        <v>143</v>
      </c>
      <c r="C47" s="142">
        <v>0.333333</v>
      </c>
      <c r="D47" s="123">
        <f>C46*C47</f>
        <v>333333</v>
      </c>
    </row>
    <row r="48" spans="2:4" ht="15">
      <c r="B48" s="24"/>
      <c r="C48" s="42"/>
      <c r="D48" s="41"/>
    </row>
    <row r="49" spans="2:4" ht="37.5" customHeight="1">
      <c r="B49" s="24" t="s">
        <v>2</v>
      </c>
      <c r="C49" s="125"/>
      <c r="D49" s="41" t="s">
        <v>29</v>
      </c>
    </row>
    <row r="50" spans="2:4" ht="18.75" customHeight="1">
      <c r="B50" s="24" t="s">
        <v>3</v>
      </c>
      <c r="C50" s="44">
        <v>5</v>
      </c>
      <c r="D50" s="41"/>
    </row>
    <row r="51" spans="2:4" ht="18.75" customHeight="1">
      <c r="B51" s="24" t="s">
        <v>51</v>
      </c>
      <c r="C51" s="43">
        <v>120000</v>
      </c>
      <c r="D51" s="41"/>
    </row>
    <row r="52" spans="2:4" ht="37.5" customHeight="1" thickBot="1">
      <c r="B52" s="26" t="s">
        <v>4</v>
      </c>
      <c r="C52" s="45">
        <v>0.75</v>
      </c>
      <c r="D52" s="124">
        <f>C52*C51*C50</f>
        <v>450000</v>
      </c>
    </row>
    <row r="53" ht="15">
      <c r="B53" s="18"/>
    </row>
    <row r="54" spans="2:4" ht="16.5" thickBot="1">
      <c r="B54" s="46" t="s">
        <v>6</v>
      </c>
      <c r="C54" s="23"/>
      <c r="D54" s="23"/>
    </row>
    <row r="55" spans="2:4" ht="27" customHeight="1">
      <c r="B55" s="242" t="s">
        <v>144</v>
      </c>
      <c r="C55" s="243"/>
      <c r="D55" s="47">
        <v>75000</v>
      </c>
    </row>
    <row r="56" spans="2:4" ht="27" customHeight="1">
      <c r="B56" s="291" t="s">
        <v>145</v>
      </c>
      <c r="C56" s="292"/>
      <c r="D56" s="25">
        <v>5</v>
      </c>
    </row>
    <row r="57" spans="2:4" ht="15">
      <c r="B57" s="291" t="s">
        <v>146</v>
      </c>
      <c r="C57" s="292"/>
      <c r="D57" s="51">
        <v>100000</v>
      </c>
    </row>
    <row r="58" spans="2:4" ht="15.75" thickBot="1">
      <c r="B58" s="244" t="s">
        <v>39</v>
      </c>
      <c r="C58" s="245"/>
      <c r="D58" s="48">
        <f>D55+(D56*D57)</f>
        <v>575000</v>
      </c>
    </row>
    <row r="59" ht="15">
      <c r="B59" s="18"/>
    </row>
    <row r="60" ht="15.75" thickBot="1"/>
    <row r="61" spans="2:10" ht="90" customHeight="1" thickBot="1">
      <c r="B61" s="63" t="s">
        <v>198</v>
      </c>
      <c r="C61" s="215">
        <v>0.5</v>
      </c>
      <c r="D61" s="19" t="s">
        <v>29</v>
      </c>
      <c r="E61" s="298" t="s">
        <v>271</v>
      </c>
      <c r="F61" s="299"/>
      <c r="G61" s="299"/>
      <c r="H61" s="299"/>
      <c r="I61" s="299"/>
      <c r="J61" s="300"/>
    </row>
  </sheetData>
  <mergeCells count="12">
    <mergeCell ref="B58:C58"/>
    <mergeCell ref="B23:G23"/>
    <mergeCell ref="B36:G36"/>
    <mergeCell ref="B37:G37"/>
    <mergeCell ref="E61:J61"/>
    <mergeCell ref="A2:H4"/>
    <mergeCell ref="B17:G17"/>
    <mergeCell ref="B18:G18"/>
    <mergeCell ref="B55:C55"/>
    <mergeCell ref="B22:G22"/>
    <mergeCell ref="B56:C56"/>
    <mergeCell ref="B57:C57"/>
  </mergeCells>
  <printOptions/>
  <pageMargins left="0.75" right="0.75" top="1" bottom="1" header="0.5" footer="0.5"/>
  <pageSetup horizontalDpi="400" verticalDpi="400" orientation="portrait" r:id="rId1"/>
</worksheet>
</file>

<file path=xl/worksheets/sheet6.xml><?xml version="1.0" encoding="utf-8"?>
<worksheet xmlns="http://schemas.openxmlformats.org/spreadsheetml/2006/main" xmlns:r="http://schemas.openxmlformats.org/officeDocument/2006/relationships">
  <dimension ref="A2:I155"/>
  <sheetViews>
    <sheetView workbookViewId="0" topLeftCell="A1">
      <selection activeCell="D146" sqref="D146"/>
    </sheetView>
  </sheetViews>
  <sheetFormatPr defaultColWidth="9.140625" defaultRowHeight="12.75"/>
  <cols>
    <col min="1" max="1" width="3.28125" style="89" customWidth="1"/>
    <col min="2" max="2" width="49.00390625" style="88" customWidth="1"/>
    <col min="3" max="3" width="15.421875" style="89" bestFit="1" customWidth="1"/>
    <col min="4" max="4" width="12.140625" style="89" bestFit="1" customWidth="1"/>
    <col min="5" max="5" width="15.421875" style="89" bestFit="1" customWidth="1"/>
    <col min="6" max="6" width="13.140625" style="89" customWidth="1"/>
    <col min="7" max="7" width="15.421875" style="89" bestFit="1" customWidth="1"/>
    <col min="8" max="8" width="15.57421875" style="89" bestFit="1" customWidth="1"/>
    <col min="9" max="16384" width="8.8515625" style="89" customWidth="1"/>
  </cols>
  <sheetData>
    <row r="1" ht="12.75"/>
    <row r="2" ht="15">
      <c r="C2" s="156" t="s">
        <v>205</v>
      </c>
    </row>
    <row r="3" ht="15">
      <c r="C3" s="156"/>
    </row>
    <row r="4" ht="15">
      <c r="C4" s="156"/>
    </row>
    <row r="5" ht="12.75">
      <c r="A5" s="87" t="s">
        <v>16</v>
      </c>
    </row>
    <row r="6" ht="13.5" thickBot="1"/>
    <row r="7" spans="2:4" ht="12.75">
      <c r="B7" s="80" t="s">
        <v>135</v>
      </c>
      <c r="C7" s="143">
        <f>'Prelimany Data'!C12</f>
        <v>0.15</v>
      </c>
      <c r="D7" s="89" t="s">
        <v>134</v>
      </c>
    </row>
    <row r="8" spans="2:4" ht="12.75">
      <c r="B8" s="91" t="s">
        <v>17</v>
      </c>
      <c r="C8" s="144">
        <f>'Prelimany Data'!C13</f>
        <v>65000</v>
      </c>
      <c r="D8" s="89" t="s">
        <v>137</v>
      </c>
    </row>
    <row r="9" spans="2:4" s="93" customFormat="1" ht="25.5">
      <c r="B9" s="82" t="s">
        <v>60</v>
      </c>
      <c r="C9" s="105">
        <f>'Prelimany Data'!C14</f>
        <v>30</v>
      </c>
      <c r="D9" s="93" t="s">
        <v>136</v>
      </c>
    </row>
    <row r="10" spans="2:4" s="93" customFormat="1" ht="12.75">
      <c r="B10" s="82" t="s">
        <v>160</v>
      </c>
      <c r="C10" s="145">
        <f>'Prelimany Data'!C15</f>
        <v>12000</v>
      </c>
      <c r="D10" s="89" t="s">
        <v>137</v>
      </c>
    </row>
    <row r="11" spans="2:4" ht="26.25" thickBot="1">
      <c r="B11" s="81" t="s">
        <v>38</v>
      </c>
      <c r="C11" s="146">
        <f>'Prelimany Data'!C16</f>
        <v>10</v>
      </c>
      <c r="D11" s="89" t="s">
        <v>133</v>
      </c>
    </row>
    <row r="12" spans="2:3" ht="12.75">
      <c r="B12" s="96"/>
      <c r="C12" s="97"/>
    </row>
    <row r="13" ht="12.75"/>
    <row r="14" ht="12.75">
      <c r="A14" s="87" t="s">
        <v>59</v>
      </c>
    </row>
    <row r="15" ht="13.5" thickBot="1">
      <c r="A15" s="87"/>
    </row>
    <row r="16" spans="2:8" ht="13.5" thickBot="1">
      <c r="B16" s="230"/>
      <c r="C16" s="231">
        <v>2001</v>
      </c>
      <c r="D16" s="231">
        <v>2002</v>
      </c>
      <c r="E16" s="231">
        <v>2003</v>
      </c>
      <c r="F16" s="231">
        <v>2004</v>
      </c>
      <c r="G16" s="231">
        <v>2005</v>
      </c>
      <c r="H16" s="232">
        <v>2006</v>
      </c>
    </row>
    <row r="17" spans="2:8" ht="12.75">
      <c r="B17" s="226" t="s">
        <v>15</v>
      </c>
      <c r="C17" s="227">
        <v>0</v>
      </c>
      <c r="D17" s="228">
        <f>'Prelimany Data'!D22</f>
        <v>0.08</v>
      </c>
      <c r="E17" s="228">
        <f>'Prelimany Data'!E22</f>
        <v>0.08</v>
      </c>
      <c r="F17" s="228">
        <f>'Prelimany Data'!F22</f>
        <v>0.08</v>
      </c>
      <c r="G17" s="228">
        <f>'Prelimany Data'!G22</f>
        <v>0.08</v>
      </c>
      <c r="H17" s="229">
        <f>'Prelimany Data'!H22</f>
        <v>0.08</v>
      </c>
    </row>
    <row r="18" spans="2:8" ht="13.5" thickBot="1">
      <c r="B18" s="81" t="s">
        <v>130</v>
      </c>
      <c r="C18" s="103">
        <f>C8</f>
        <v>65000</v>
      </c>
      <c r="D18" s="103">
        <f>C18*(1+D17)</f>
        <v>70200</v>
      </c>
      <c r="E18" s="103">
        <f>D18*(1+E17)</f>
        <v>75816</v>
      </c>
      <c r="F18" s="103">
        <f>E18*(1+F17)</f>
        <v>81881.28</v>
      </c>
      <c r="G18" s="103">
        <f>F18*(1+G17)</f>
        <v>88431.78240000001</v>
      </c>
      <c r="H18" s="104">
        <f>G18*(1+H17)</f>
        <v>95506.32499200002</v>
      </c>
    </row>
    <row r="19" ht="13.5" thickBot="1"/>
    <row r="20" spans="2:9" ht="12.75">
      <c r="B20" s="235" t="s">
        <v>187</v>
      </c>
      <c r="C20" s="236"/>
      <c r="D20" s="236"/>
      <c r="E20" s="236"/>
      <c r="F20" s="236"/>
      <c r="G20" s="237"/>
      <c r="H20" s="208">
        <f>'Prelimany Data'!H25</f>
        <v>25000</v>
      </c>
      <c r="I20" s="89" t="s">
        <v>137</v>
      </c>
    </row>
    <row r="21" spans="2:9" s="96" customFormat="1" ht="28.5" customHeight="1">
      <c r="B21" s="240" t="s">
        <v>188</v>
      </c>
      <c r="C21" s="272"/>
      <c r="D21" s="272"/>
      <c r="E21" s="272"/>
      <c r="F21" s="272"/>
      <c r="G21" s="272"/>
      <c r="H21" s="209">
        <f>'Prelimany Data'!H26</f>
        <v>43000</v>
      </c>
      <c r="I21" s="89" t="s">
        <v>137</v>
      </c>
    </row>
    <row r="22" spans="2:9" s="93" customFormat="1" ht="13.5" customHeight="1">
      <c r="B22" s="240" t="s">
        <v>189</v>
      </c>
      <c r="C22" s="241"/>
      <c r="D22" s="241"/>
      <c r="E22" s="241"/>
      <c r="F22" s="241"/>
      <c r="G22" s="241"/>
      <c r="H22" s="168">
        <f>'Prelimany Data'!H27</f>
        <v>35000</v>
      </c>
      <c r="I22" s="89" t="s">
        <v>137</v>
      </c>
    </row>
    <row r="23" spans="2:9" ht="12.75">
      <c r="B23" s="258" t="s">
        <v>131</v>
      </c>
      <c r="C23" s="238"/>
      <c r="D23" s="238"/>
      <c r="E23" s="238"/>
      <c r="F23" s="238"/>
      <c r="G23" s="267"/>
      <c r="H23" s="168">
        <f>H21+H22</f>
        <v>78000</v>
      </c>
      <c r="I23" s="89" t="s">
        <v>137</v>
      </c>
    </row>
    <row r="24" spans="2:8" ht="13.5" thickBot="1">
      <c r="B24" s="263" t="s">
        <v>132</v>
      </c>
      <c r="C24" s="268"/>
      <c r="D24" s="268"/>
      <c r="E24" s="268"/>
      <c r="F24" s="268"/>
      <c r="G24" s="269"/>
      <c r="H24" s="106">
        <f>H23/H20</f>
        <v>3.12</v>
      </c>
    </row>
    <row r="25" spans="2:8" ht="12.75">
      <c r="B25" s="96"/>
      <c r="C25" s="107"/>
      <c r="D25" s="107"/>
      <c r="E25" s="107"/>
      <c r="F25" s="107"/>
      <c r="G25" s="107"/>
      <c r="H25" s="93"/>
    </row>
    <row r="26" spans="2:8" ht="12.75">
      <c r="B26" s="96" t="s">
        <v>29</v>
      </c>
      <c r="C26" s="107"/>
      <c r="D26" s="107"/>
      <c r="E26" s="107"/>
      <c r="F26" s="107"/>
      <c r="G26" s="107"/>
      <c r="H26" s="93"/>
    </row>
    <row r="27" ht="12.75">
      <c r="A27" s="87" t="s">
        <v>27</v>
      </c>
    </row>
    <row r="28" ht="13.5" thickBot="1">
      <c r="A28" s="87"/>
    </row>
    <row r="29" spans="2:8" ht="13.5" thickBot="1">
      <c r="B29" s="230"/>
      <c r="C29" s="231">
        <v>2001</v>
      </c>
      <c r="D29" s="231">
        <v>2002</v>
      </c>
      <c r="E29" s="231">
        <v>2003</v>
      </c>
      <c r="F29" s="231">
        <v>2004</v>
      </c>
      <c r="G29" s="231">
        <v>2005</v>
      </c>
      <c r="H29" s="232">
        <v>2006</v>
      </c>
    </row>
    <row r="30" spans="2:8" ht="12.75">
      <c r="B30" s="82" t="s">
        <v>15</v>
      </c>
      <c r="C30" s="100">
        <v>0</v>
      </c>
      <c r="D30" s="147">
        <f>'Prelimany Data'!D35</f>
        <v>0.1</v>
      </c>
      <c r="E30" s="147">
        <f>'Prelimany Data'!E35</f>
        <v>0.1</v>
      </c>
      <c r="F30" s="147">
        <f>'Prelimany Data'!F35</f>
        <v>0.1</v>
      </c>
      <c r="G30" s="147">
        <f>'Prelimany Data'!G35</f>
        <v>0.1</v>
      </c>
      <c r="H30" s="148">
        <f>'Prelimany Data'!H35</f>
        <v>0.1</v>
      </c>
    </row>
    <row r="31" spans="2:8" ht="13.5" thickBot="1">
      <c r="B31" s="81" t="s">
        <v>152</v>
      </c>
      <c r="C31" s="170">
        <f>H20</f>
        <v>25000</v>
      </c>
      <c r="D31" s="170">
        <f>C31*(1+D30)</f>
        <v>27500.000000000004</v>
      </c>
      <c r="E31" s="170">
        <f>D31*(1+E30)</f>
        <v>30250.000000000007</v>
      </c>
      <c r="F31" s="170">
        <f>E31*(1+F30)</f>
        <v>33275.00000000001</v>
      </c>
      <c r="G31" s="170">
        <f>F31*(1+G30)</f>
        <v>36602.500000000015</v>
      </c>
      <c r="H31" s="171">
        <f>G31*(1+H30)</f>
        <v>40262.75000000002</v>
      </c>
    </row>
    <row r="34" ht="12.75">
      <c r="A34" s="87" t="s">
        <v>190</v>
      </c>
    </row>
    <row r="35" ht="12.75">
      <c r="A35" s="89" t="s">
        <v>29</v>
      </c>
    </row>
    <row r="36" ht="13.5" thickBot="1">
      <c r="B36" s="88" t="s">
        <v>29</v>
      </c>
    </row>
    <row r="37" spans="2:3" ht="12.75">
      <c r="B37" s="80" t="s">
        <v>30</v>
      </c>
      <c r="C37" s="143">
        <f>'Prelimany Data'!C61</f>
        <v>0.3</v>
      </c>
    </row>
    <row r="38" spans="2:3" ht="12.75">
      <c r="B38" s="82" t="s">
        <v>36</v>
      </c>
      <c r="C38" s="148">
        <f>'Prelimany Data'!C62</f>
        <v>0.2</v>
      </c>
    </row>
    <row r="39" spans="2:3" ht="12.75">
      <c r="B39" s="91" t="s">
        <v>37</v>
      </c>
      <c r="C39" s="149">
        <f>'Prelimany Data'!C63</f>
        <v>0.2</v>
      </c>
    </row>
    <row r="40" spans="2:4" ht="13.5" thickBot="1">
      <c r="B40" s="81" t="s">
        <v>161</v>
      </c>
      <c r="C40" s="112">
        <f>((Analysis_WEBAPP!C65*C37)+(Analysis_WEBAPP!C68*C38)+(Analysis_WEBAPP!C71*C39))/(Analysis_WEBAPP!C65+Analysis_WEBAPP!C68+Analysis_WEBAPP!C71)</f>
        <v>0.23076923076923078</v>
      </c>
      <c r="D40" s="89" t="s">
        <v>191</v>
      </c>
    </row>
    <row r="41" spans="2:8" ht="12.75">
      <c r="B41" s="96"/>
      <c r="C41" s="111"/>
      <c r="D41" s="111"/>
      <c r="E41" s="111"/>
      <c r="F41" s="111"/>
      <c r="G41" s="111"/>
      <c r="H41" s="111"/>
    </row>
    <row r="43" s="19" customFormat="1" ht="15.75">
      <c r="A43" s="17" t="s">
        <v>173</v>
      </c>
    </row>
    <row r="44" s="19" customFormat="1" ht="15"/>
    <row r="45" s="19" customFormat="1" ht="15" customHeight="1" thickBot="1"/>
    <row r="46" spans="2:8" s="19" customFormat="1" ht="32.25" customHeight="1">
      <c r="B46" s="242" t="s">
        <v>169</v>
      </c>
      <c r="C46" s="295"/>
      <c r="D46" s="295"/>
      <c r="E46" s="295"/>
      <c r="F46" s="295"/>
      <c r="G46" s="295"/>
      <c r="H46" s="210">
        <f>Cost_Benefits_RFQ_RN!H4</f>
        <v>2000</v>
      </c>
    </row>
    <row r="47" spans="2:8" s="19" customFormat="1" ht="36" customHeight="1">
      <c r="B47" s="291" t="s">
        <v>171</v>
      </c>
      <c r="C47" s="297"/>
      <c r="D47" s="297"/>
      <c r="E47" s="297"/>
      <c r="F47" s="297"/>
      <c r="G47" s="297"/>
      <c r="H47" s="211">
        <f>Cost_Benefits_RFQ_RN!H5</f>
        <v>2000</v>
      </c>
    </row>
    <row r="48" spans="2:8" s="19" customFormat="1" ht="15.75" thickBot="1">
      <c r="B48" s="244" t="s">
        <v>170</v>
      </c>
      <c r="C48" s="294"/>
      <c r="D48" s="294"/>
      <c r="E48" s="294"/>
      <c r="F48" s="294"/>
      <c r="G48" s="294"/>
      <c r="H48" s="192">
        <f>H46+H47</f>
        <v>4000</v>
      </c>
    </row>
    <row r="49" s="19" customFormat="1" ht="15"/>
    <row r="50" s="19" customFormat="1" ht="15.75">
      <c r="B50" s="17" t="s">
        <v>172</v>
      </c>
    </row>
    <row r="51" spans="1:2" s="19" customFormat="1" ht="16.5" thickBot="1">
      <c r="A51" s="17"/>
      <c r="B51" s="18"/>
    </row>
    <row r="52" spans="2:8" s="19" customFormat="1" ht="15.75" thickBot="1">
      <c r="B52" s="63"/>
      <c r="C52" s="179">
        <v>2001</v>
      </c>
      <c r="D52" s="179">
        <v>2002</v>
      </c>
      <c r="E52" s="179">
        <v>2003</v>
      </c>
      <c r="F52" s="179">
        <v>2004</v>
      </c>
      <c r="G52" s="179">
        <v>2005</v>
      </c>
      <c r="H52" s="180">
        <v>2006</v>
      </c>
    </row>
    <row r="53" spans="2:8" s="19" customFormat="1" ht="18.75" customHeight="1">
      <c r="B53" s="39" t="s">
        <v>15</v>
      </c>
      <c r="C53" s="193">
        <f>Cost_Benefits_RFQ_RN!C11</f>
        <v>0</v>
      </c>
      <c r="D53" s="193">
        <f>Cost_Benefits_RFQ_RN!D11</f>
        <v>0.1</v>
      </c>
      <c r="E53" s="193">
        <f>Cost_Benefits_RFQ_RN!E11</f>
        <v>0.1</v>
      </c>
      <c r="F53" s="193">
        <f>Cost_Benefits_RFQ_RN!F11</f>
        <v>0.1</v>
      </c>
      <c r="G53" s="193">
        <f>Cost_Benefits_RFQ_RN!G11</f>
        <v>0.1</v>
      </c>
      <c r="H53" s="193">
        <f>Cost_Benefits_RFQ_RN!H11</f>
        <v>0.1</v>
      </c>
    </row>
    <row r="54" spans="2:8" s="19" customFormat="1" ht="18.75" customHeight="1" thickBot="1">
      <c r="B54" s="26" t="s">
        <v>181</v>
      </c>
      <c r="C54" s="79">
        <f>H48</f>
        <v>4000</v>
      </c>
      <c r="D54" s="79">
        <f>(1+D53)*C54</f>
        <v>4400</v>
      </c>
      <c r="E54" s="79">
        <f>(1+E53)*D54</f>
        <v>4840</v>
      </c>
      <c r="F54" s="79">
        <f>(1+F53)*E54</f>
        <v>5324</v>
      </c>
      <c r="G54" s="79">
        <f>(1+G53)*F54</f>
        <v>5856.400000000001</v>
      </c>
      <c r="H54" s="79">
        <f>(1+H53)*G54</f>
        <v>6442.040000000001</v>
      </c>
    </row>
    <row r="55" s="19" customFormat="1" ht="15">
      <c r="B55" s="18"/>
    </row>
    <row r="56" s="19" customFormat="1" ht="15.75">
      <c r="A56" s="17" t="s">
        <v>184</v>
      </c>
    </row>
    <row r="57" s="19" customFormat="1" ht="15.75" thickBot="1"/>
    <row r="58" spans="2:8" s="19" customFormat="1" ht="15.75" thickBot="1">
      <c r="B58" s="63"/>
      <c r="C58" s="179">
        <v>2001</v>
      </c>
      <c r="D58" s="179">
        <v>2002</v>
      </c>
      <c r="E58" s="179">
        <v>2003</v>
      </c>
      <c r="F58" s="179">
        <v>2004</v>
      </c>
      <c r="G58" s="179">
        <v>2005</v>
      </c>
      <c r="H58" s="180">
        <v>2006</v>
      </c>
    </row>
    <row r="59" spans="2:8" s="19" customFormat="1" ht="15">
      <c r="B59" s="39" t="s">
        <v>179</v>
      </c>
      <c r="C59" s="233">
        <f>Input_Data_Web_Systems!$H$36*C54</f>
        <v>60000</v>
      </c>
      <c r="D59" s="233">
        <f>Input_Data_Web_Systems!$H$36*D54</f>
        <v>66000</v>
      </c>
      <c r="E59" s="233">
        <f>Input_Data_Web_Systems!$H$36*E54</f>
        <v>72600</v>
      </c>
      <c r="F59" s="233">
        <f>Input_Data_Web_Systems!$H$36*F54</f>
        <v>79860</v>
      </c>
      <c r="G59" s="233">
        <f>Input_Data_Web_Systems!$H$36*G54</f>
        <v>87846.00000000001</v>
      </c>
      <c r="H59" s="233">
        <f>Input_Data_Web_Systems!$H$36*H54</f>
        <v>96630.6</v>
      </c>
    </row>
    <row r="60" spans="2:8" s="19" customFormat="1" ht="30">
      <c r="B60" s="21" t="s">
        <v>180</v>
      </c>
      <c r="C60" s="202">
        <f>(((1-Input_Data_Web_Systems!C32)*Input_Data_Web_Systems!$H$36)+(Input_Data_Web_Systems!C32*Input_Data_Web_Systems!$H$37))*C54</f>
        <v>60000</v>
      </c>
      <c r="D60" s="202">
        <f>(((1-Input_Data_Web_Systems!D32)*Input_Data_Web_Systems!$H$36)+(Input_Data_Web_Systems!D32*Input_Data_Web_Systems!$H$37))*D54</f>
        <v>64900</v>
      </c>
      <c r="E60" s="202">
        <f>(((1-Input_Data_Web_Systems!E32)*Input_Data_Web_Systems!$H$36)+(Input_Data_Web_Systems!E32*Input_Data_Web_Systems!$H$37))*E54</f>
        <v>70180</v>
      </c>
      <c r="F60" s="202">
        <f>(((1-Input_Data_Web_Systems!F32)*Input_Data_Web_Systems!$H$36)+(Input_Data_Web_Systems!F32*Input_Data_Web_Systems!$H$37))*F54</f>
        <v>75867</v>
      </c>
      <c r="G60" s="202">
        <f>(((1-Input_Data_Web_Systems!G32)*Input_Data_Web_Systems!$H$36)+(Input_Data_Web_Systems!G32*Input_Data_Web_Systems!$H$37))*G54</f>
        <v>81989.6</v>
      </c>
      <c r="H60" s="202">
        <f>(((1-Input_Data_Web_Systems!H32)*Input_Data_Web_Systems!$H$36)+(Input_Data_Web_Systems!H32*Input_Data_Web_Systems!$H$37))*H54</f>
        <v>88578.05000000002</v>
      </c>
    </row>
    <row r="61" spans="2:8" s="19" customFormat="1" ht="15.75" thickBot="1">
      <c r="B61" s="74" t="s">
        <v>178</v>
      </c>
      <c r="C61" s="86">
        <f aca="true" t="shared" si="0" ref="C61:H61">C59-C60</f>
        <v>0</v>
      </c>
      <c r="D61" s="86">
        <f t="shared" si="0"/>
        <v>1100</v>
      </c>
      <c r="E61" s="86">
        <f t="shared" si="0"/>
        <v>2420</v>
      </c>
      <c r="F61" s="86">
        <f t="shared" si="0"/>
        <v>3993</v>
      </c>
      <c r="G61" s="86">
        <f t="shared" si="0"/>
        <v>5856.400000000009</v>
      </c>
      <c r="H61" s="86">
        <f t="shared" si="0"/>
        <v>8052.549999999988</v>
      </c>
    </row>
    <row r="62" s="19" customFormat="1" ht="15"/>
    <row r="63" spans="1:2" s="17" customFormat="1" ht="15.75">
      <c r="A63" s="17" t="s">
        <v>21</v>
      </c>
      <c r="B63" s="22"/>
    </row>
    <row r="64" s="19" customFormat="1" ht="15.75" thickBot="1">
      <c r="B64" s="18"/>
    </row>
    <row r="65" spans="2:3" s="19" customFormat="1" ht="60">
      <c r="B65" s="53" t="s">
        <v>147</v>
      </c>
      <c r="C65" s="150">
        <f>Costs_PO_RN!C34</f>
        <v>20</v>
      </c>
    </row>
    <row r="66" spans="2:4" s="19" customFormat="1" ht="15">
      <c r="B66" s="32" t="s">
        <v>8</v>
      </c>
      <c r="C66" s="216">
        <f>Costs_PO_RN!C35</f>
        <v>60000</v>
      </c>
      <c r="D66" s="19" t="s">
        <v>29</v>
      </c>
    </row>
    <row r="67" spans="2:3" s="19" customFormat="1" ht="15">
      <c r="B67" s="56"/>
      <c r="C67" s="152"/>
    </row>
    <row r="68" spans="2:3" s="19" customFormat="1" ht="30">
      <c r="B68" s="32" t="s">
        <v>18</v>
      </c>
      <c r="C68" s="152">
        <f>Costs_PO_RN!C37</f>
        <v>35</v>
      </c>
    </row>
    <row r="69" spans="2:5" s="19" customFormat="1" ht="15">
      <c r="B69" s="32" t="s">
        <v>8</v>
      </c>
      <c r="C69" s="216">
        <f>Costs_PO_RN!C38</f>
        <v>75000</v>
      </c>
      <c r="D69" s="19" t="s">
        <v>29</v>
      </c>
      <c r="E69" s="19" t="s">
        <v>29</v>
      </c>
    </row>
    <row r="70" spans="2:5" s="19" customFormat="1" ht="15.75" thickBot="1">
      <c r="B70" s="56"/>
      <c r="C70" s="152"/>
      <c r="E70" s="19" t="s">
        <v>29</v>
      </c>
    </row>
    <row r="71" spans="2:8" s="19" customFormat="1" ht="30" customHeight="1" thickBot="1">
      <c r="B71" s="32" t="s">
        <v>22</v>
      </c>
      <c r="C71" s="152">
        <f>Costs_PO_RN!C40</f>
        <v>10</v>
      </c>
      <c r="E71" s="273" t="s">
        <v>162</v>
      </c>
      <c r="F71" s="274"/>
      <c r="G71" s="275"/>
      <c r="H71" s="65">
        <f>C65+C68+C71</f>
        <v>65</v>
      </c>
    </row>
    <row r="72" spans="2:8" s="19" customFormat="1" ht="15" customHeight="1">
      <c r="B72" s="32" t="s">
        <v>9</v>
      </c>
      <c r="C72" s="216">
        <f>Costs_PO_RN!C41</f>
        <v>70000</v>
      </c>
      <c r="D72" s="19" t="s">
        <v>29</v>
      </c>
      <c r="E72" s="276" t="s">
        <v>165</v>
      </c>
      <c r="F72" s="277"/>
      <c r="G72" s="278"/>
      <c r="H72" s="285">
        <f>((C65*C66)+(C68*C69)+(C71*C72))/(C65+C68+C71)</f>
        <v>69615.38461538461</v>
      </c>
    </row>
    <row r="73" spans="2:8" s="19" customFormat="1" ht="15.75" thickBot="1">
      <c r="B73" s="56"/>
      <c r="C73" s="152"/>
      <c r="E73" s="279"/>
      <c r="F73" s="280"/>
      <c r="G73" s="281"/>
      <c r="H73" s="286"/>
    </row>
    <row r="74" spans="2:4" s="19" customFormat="1" ht="15.75" thickBot="1">
      <c r="B74" s="32" t="s">
        <v>10</v>
      </c>
      <c r="C74" s="216">
        <f>Costs_PO_RN!C43</f>
        <v>4000</v>
      </c>
      <c r="D74" s="19" t="s">
        <v>29</v>
      </c>
    </row>
    <row r="75" spans="2:9" s="19" customFormat="1" ht="13.5" customHeight="1" thickBot="1">
      <c r="B75" s="32" t="s">
        <v>11</v>
      </c>
      <c r="C75" s="216">
        <f>Costs_PO_RN!C44</f>
        <v>80000</v>
      </c>
      <c r="D75" s="288" t="s">
        <v>32</v>
      </c>
      <c r="E75" s="288"/>
      <c r="F75" s="288"/>
      <c r="G75" s="288"/>
      <c r="H75" s="217">
        <f>C75+(C66*C65)</f>
        <v>1280000</v>
      </c>
      <c r="I75" s="19" t="s">
        <v>29</v>
      </c>
    </row>
    <row r="76" spans="2:8" s="19" customFormat="1" ht="15">
      <c r="B76" s="56"/>
      <c r="C76" s="152"/>
      <c r="H76" s="120"/>
    </row>
    <row r="77" spans="2:8" s="19" customFormat="1" ht="15.75" thickBot="1">
      <c r="B77" s="32" t="s">
        <v>19</v>
      </c>
      <c r="C77" s="216">
        <f>Costs_PO_RN!C46</f>
        <v>1000</v>
      </c>
      <c r="D77" s="19" t="s">
        <v>29</v>
      </c>
      <c r="H77" s="120"/>
    </row>
    <row r="78" spans="2:9" s="19" customFormat="1" ht="13.5" customHeight="1" thickBot="1">
      <c r="B78" s="32" t="s">
        <v>20</v>
      </c>
      <c r="C78" s="216">
        <f>Costs_PO_RN!C47</f>
        <v>35000</v>
      </c>
      <c r="D78" s="288" t="s">
        <v>33</v>
      </c>
      <c r="E78" s="288"/>
      <c r="F78" s="288"/>
      <c r="G78" s="289"/>
      <c r="H78" s="217">
        <f>C78+(C69*C68)</f>
        <v>2660000</v>
      </c>
      <c r="I78" s="19" t="s">
        <v>29</v>
      </c>
    </row>
    <row r="79" spans="2:8" s="19" customFormat="1" ht="15">
      <c r="B79" s="56"/>
      <c r="C79" s="152"/>
      <c r="H79" s="120"/>
    </row>
    <row r="80" spans="2:8" s="19" customFormat="1" ht="15.75" thickBot="1">
      <c r="B80" s="32" t="s">
        <v>31</v>
      </c>
      <c r="C80" s="216">
        <f>Costs_PO_RN!C49</f>
        <v>2000</v>
      </c>
      <c r="D80" s="19" t="s">
        <v>29</v>
      </c>
      <c r="H80" s="120"/>
    </row>
    <row r="81" spans="2:9" s="19" customFormat="1" ht="13.5" customHeight="1" thickBot="1">
      <c r="B81" s="32" t="s">
        <v>20</v>
      </c>
      <c r="C81" s="216">
        <f>Costs_PO_RN!C50</f>
        <v>20000</v>
      </c>
      <c r="D81" s="288" t="s">
        <v>34</v>
      </c>
      <c r="E81" s="288"/>
      <c r="F81" s="288"/>
      <c r="G81" s="289"/>
      <c r="H81" s="217">
        <f>C81+(C72*C71)</f>
        <v>720000</v>
      </c>
      <c r="I81" s="19" t="s">
        <v>29</v>
      </c>
    </row>
    <row r="82" spans="2:3" s="19" customFormat="1" ht="15">
      <c r="B82" s="56"/>
      <c r="C82" s="152"/>
    </row>
    <row r="83" spans="2:4" s="19" customFormat="1" ht="30">
      <c r="B83" s="32" t="s">
        <v>151</v>
      </c>
      <c r="C83" s="216">
        <f>Costs_PO_RN!C52</f>
        <v>500000</v>
      </c>
      <c r="D83" s="19" t="s">
        <v>29</v>
      </c>
    </row>
    <row r="84" spans="2:3" s="19" customFormat="1" ht="15">
      <c r="B84" s="56"/>
      <c r="C84" s="152"/>
    </row>
    <row r="85" spans="2:4" s="19" customFormat="1" ht="60.75">
      <c r="B85" s="32" t="s">
        <v>194</v>
      </c>
      <c r="C85" s="216">
        <f>Costs_PO_RN!C54</f>
        <v>10000000</v>
      </c>
      <c r="D85" s="19" t="s">
        <v>29</v>
      </c>
    </row>
    <row r="86" spans="2:3" s="19" customFormat="1" ht="15.75" thickBot="1">
      <c r="B86" s="18"/>
      <c r="C86" s="151"/>
    </row>
    <row r="87" spans="2:4" s="19" customFormat="1" ht="15">
      <c r="B87" s="53" t="s">
        <v>48</v>
      </c>
      <c r="C87" s="213">
        <f>H75+H78+H81+C83+C85</f>
        <v>15160000</v>
      </c>
      <c r="D87" s="19" t="s">
        <v>29</v>
      </c>
    </row>
    <row r="88" spans="2:4" s="19" customFormat="1" ht="30">
      <c r="B88" s="32" t="s">
        <v>35</v>
      </c>
      <c r="C88" s="225">
        <f>Analysis_WEBAPP!H20+Analysis_WEBAPP!H23</f>
        <v>103000</v>
      </c>
      <c r="D88" s="19" t="s">
        <v>29</v>
      </c>
    </row>
    <row r="89" spans="2:3" s="19" customFormat="1" ht="15.75" thickBot="1">
      <c r="B89" s="212" t="s">
        <v>7</v>
      </c>
      <c r="C89" s="214">
        <f>C87/C88</f>
        <v>147.18446601941747</v>
      </c>
    </row>
    <row r="90" s="19" customFormat="1" ht="15">
      <c r="B90" s="18"/>
    </row>
    <row r="91" spans="1:2" s="19" customFormat="1" ht="15.75">
      <c r="A91" s="17" t="s">
        <v>197</v>
      </c>
      <c r="B91" s="18"/>
    </row>
    <row r="92" spans="1:2" s="19" customFormat="1" ht="15.75">
      <c r="A92" s="17"/>
      <c r="B92" s="18"/>
    </row>
    <row r="93" s="19" customFormat="1" ht="13.5" customHeight="1" thickBot="1">
      <c r="B93" s="18"/>
    </row>
    <row r="94" spans="2:4" s="19" customFormat="1" ht="45.75" customHeight="1">
      <c r="B94" s="20" t="s">
        <v>198</v>
      </c>
      <c r="C94" s="60">
        <f>Input_Data_Web_Systems!C61</f>
        <v>0.5</v>
      </c>
      <c r="D94" s="19" t="s">
        <v>29</v>
      </c>
    </row>
    <row r="95" spans="2:3" s="19" customFormat="1" ht="15.75" thickBot="1">
      <c r="B95" s="26" t="s">
        <v>7</v>
      </c>
      <c r="C95" s="122">
        <f>(1-C94)*C89</f>
        <v>73.59223300970874</v>
      </c>
    </row>
    <row r="96" s="19" customFormat="1" ht="15">
      <c r="B96" s="18"/>
    </row>
    <row r="97" s="19" customFormat="1" ht="15">
      <c r="B97" s="18"/>
    </row>
    <row r="98" spans="1:6" s="19" customFormat="1" ht="64.5" customHeight="1">
      <c r="A98" s="19" t="s">
        <v>29</v>
      </c>
      <c r="B98" s="283" t="s">
        <v>291</v>
      </c>
      <c r="C98" s="284"/>
      <c r="D98" s="284"/>
      <c r="E98" s="284"/>
      <c r="F98" s="284"/>
    </row>
    <row r="99" s="19" customFormat="1" ht="13.5" customHeight="1">
      <c r="B99" s="18"/>
    </row>
    <row r="100" s="19" customFormat="1" ht="15">
      <c r="B100" s="18"/>
    </row>
    <row r="101" s="19" customFormat="1" ht="15"/>
    <row r="102" spans="1:3" s="19" customFormat="1" ht="15.75">
      <c r="A102" s="17" t="s">
        <v>41</v>
      </c>
      <c r="B102" s="28"/>
      <c r="C102" s="23"/>
    </row>
    <row r="103" spans="2:3" s="19" customFormat="1" ht="15">
      <c r="B103" s="28"/>
      <c r="C103" s="23"/>
    </row>
    <row r="104" spans="2:8" s="19" customFormat="1" ht="15.75">
      <c r="B104" s="282" t="s">
        <v>150</v>
      </c>
      <c r="C104" s="283"/>
      <c r="D104" s="283"/>
      <c r="E104" s="283"/>
      <c r="F104" s="283"/>
      <c r="G104" s="283"/>
      <c r="H104" s="283"/>
    </row>
    <row r="105" spans="2:3" s="19" customFormat="1" ht="15.75" thickBot="1">
      <c r="B105" s="28"/>
      <c r="C105" s="23"/>
    </row>
    <row r="106" spans="2:8" s="19" customFormat="1" ht="15.75" thickBot="1">
      <c r="B106" s="63"/>
      <c r="C106" s="179">
        <v>2001</v>
      </c>
      <c r="D106" s="179">
        <v>2002</v>
      </c>
      <c r="E106" s="179">
        <v>2003</v>
      </c>
      <c r="F106" s="179">
        <v>2004</v>
      </c>
      <c r="G106" s="179">
        <v>2005</v>
      </c>
      <c r="H106" s="180">
        <v>2006</v>
      </c>
    </row>
    <row r="107" spans="2:8" s="19" customFormat="1" ht="15">
      <c r="B107" s="39" t="s">
        <v>40</v>
      </c>
      <c r="C107" s="126">
        <f>Analysis_WEBAPP!C31*Analysis_WEBAPP!H24</f>
        <v>78000</v>
      </c>
      <c r="D107" s="126">
        <f>Analysis_WEBAPP!D31*Analysis_WEBAPP!H24</f>
        <v>85800.00000000001</v>
      </c>
      <c r="E107" s="126">
        <f>Analysis_WEBAPP!E31*Analysis_WEBAPP!H24</f>
        <v>94380.00000000003</v>
      </c>
      <c r="F107" s="126">
        <f>Analysis_WEBAPP!F31*Analysis_WEBAPP!H24</f>
        <v>103818.00000000003</v>
      </c>
      <c r="G107" s="126">
        <f>Analysis_WEBAPP!G31*Analysis_WEBAPP!H24</f>
        <v>114199.80000000005</v>
      </c>
      <c r="H107" s="126">
        <f>Analysis_WEBAPP!H31*Analysis_WEBAPP!H24</f>
        <v>125619.78000000007</v>
      </c>
    </row>
    <row r="108" spans="2:8" s="19" customFormat="1" ht="15">
      <c r="B108" s="24" t="s">
        <v>50</v>
      </c>
      <c r="C108" s="127">
        <f>Analysis_WEBAPP!$C$89</f>
        <v>147.18446601941747</v>
      </c>
      <c r="D108" s="127">
        <f>Analysis_WEBAPP!$C$89</f>
        <v>147.18446601941747</v>
      </c>
      <c r="E108" s="127">
        <f>Analysis_WEBAPP!$C$89</f>
        <v>147.18446601941747</v>
      </c>
      <c r="F108" s="127">
        <f>Analysis_WEBAPP!$C$89</f>
        <v>147.18446601941747</v>
      </c>
      <c r="G108" s="127">
        <f>Analysis_WEBAPP!$C$89</f>
        <v>147.18446601941747</v>
      </c>
      <c r="H108" s="127">
        <f>Analysis_WEBAPP!$C$89</f>
        <v>147.18446601941747</v>
      </c>
    </row>
    <row r="109" spans="2:9" s="19" customFormat="1" ht="30">
      <c r="B109" s="24" t="s">
        <v>199</v>
      </c>
      <c r="C109" s="127">
        <f>(Analysis_WEBAPP!$C89*(1-Input_Data_Web_Systems!C13))+(Analysis_WEBAPP!C$95*(Input_Data_Web_Systems!C13))</f>
        <v>147.18446601941747</v>
      </c>
      <c r="D109" s="127">
        <f>Analysis_WEBAPP!$C89*(1-Input_Data_Web_Systems!D13)+Analysis_WEBAPP!C$95*Input_Data_Web_Systems!D13</f>
        <v>143.50485436893203</v>
      </c>
      <c r="E109" s="127">
        <f>((Analysis_WEBAPP!$C89*(1-Input_Data_Web_Systems!E13))+(Analysis_WEBAPP!C$95*(Input_Data_Web_Systems!E13)))</f>
        <v>139.82524271844662</v>
      </c>
      <c r="F109" s="127">
        <f>((Analysis_WEBAPP!$C89*(1-Input_Data_Web_Systems!F13))+(Analysis_WEBAPP!C$95*(Input_Data_Web_Systems!F13)))</f>
        <v>136.14563106796118</v>
      </c>
      <c r="G109" s="127">
        <f>((Analysis_WEBAPP!$C89*(1-Input_Data_Web_Systems!G13))+(Analysis_WEBAPP!C$95*(Input_Data_Web_Systems!G13)))</f>
        <v>128.7864077669903</v>
      </c>
      <c r="H109" s="127">
        <f>((Analysis_WEBAPP!$C89*(1-Input_Data_Web_Systems!H13))+(Analysis_WEBAPP!C$95*(Input_Data_Web_Systems!H13)))</f>
        <v>117.74757281553399</v>
      </c>
      <c r="I109" s="19" t="s">
        <v>156</v>
      </c>
    </row>
    <row r="110" spans="2:8" s="19" customFormat="1" ht="15.75" thickBot="1">
      <c r="B110" s="26" t="s">
        <v>52</v>
      </c>
      <c r="C110" s="128">
        <f aca="true" t="shared" si="1" ref="C110:H110">C108-C109</f>
        <v>0</v>
      </c>
      <c r="D110" s="128">
        <f t="shared" si="1"/>
        <v>3.679611650485441</v>
      </c>
      <c r="E110" s="128">
        <f t="shared" si="1"/>
        <v>7.359223300970854</v>
      </c>
      <c r="F110" s="128">
        <f t="shared" si="1"/>
        <v>11.038834951456295</v>
      </c>
      <c r="G110" s="128">
        <f t="shared" si="1"/>
        <v>18.398058252427177</v>
      </c>
      <c r="H110" s="128">
        <f t="shared" si="1"/>
        <v>29.436893203883486</v>
      </c>
    </row>
    <row r="111" spans="2:8" s="19" customFormat="1" ht="15.75" thickBot="1">
      <c r="B111" s="185" t="s">
        <v>53</v>
      </c>
      <c r="C111" s="187">
        <f aca="true" t="shared" si="2" ref="C111:H111">C110*C107</f>
        <v>0</v>
      </c>
      <c r="D111" s="187">
        <f t="shared" si="2"/>
        <v>315710.6796116509</v>
      </c>
      <c r="E111" s="187">
        <f t="shared" si="2"/>
        <v>694563.4951456294</v>
      </c>
      <c r="F111" s="187">
        <f t="shared" si="2"/>
        <v>1146029.76699029</v>
      </c>
      <c r="G111" s="187">
        <f t="shared" si="2"/>
        <v>2101054.5728155337</v>
      </c>
      <c r="H111" s="187">
        <f t="shared" si="2"/>
        <v>3697856.048155341</v>
      </c>
    </row>
    <row r="112" s="19" customFormat="1" ht="15">
      <c r="B112" s="18"/>
    </row>
    <row r="113" s="19" customFormat="1" ht="15.75" thickBot="1">
      <c r="B113" s="18"/>
    </row>
    <row r="114" spans="2:8" s="19" customFormat="1" ht="15.75" thickBot="1">
      <c r="B114" s="63"/>
      <c r="C114" s="179">
        <v>2001</v>
      </c>
      <c r="D114" s="179">
        <v>2002</v>
      </c>
      <c r="E114" s="179">
        <v>2003</v>
      </c>
      <c r="F114" s="179">
        <v>2004</v>
      </c>
      <c r="G114" s="179">
        <v>2005</v>
      </c>
      <c r="H114" s="180">
        <v>2006</v>
      </c>
    </row>
    <row r="115" spans="2:8" s="19" customFormat="1" ht="15">
      <c r="B115" s="24" t="s">
        <v>42</v>
      </c>
      <c r="C115" s="62">
        <f>Analysis_WEBAPP!C11</f>
        <v>10</v>
      </c>
      <c r="D115" s="62">
        <f>Analysis_WEBAPP!C11</f>
        <v>10</v>
      </c>
      <c r="E115" s="62">
        <f>Analysis_WEBAPP!C11</f>
        <v>10</v>
      </c>
      <c r="F115" s="62">
        <f>Analysis_WEBAPP!C11</f>
        <v>10</v>
      </c>
      <c r="G115" s="62">
        <f>Analysis_WEBAPP!C11</f>
        <v>10</v>
      </c>
      <c r="H115" s="62">
        <f>Analysis_WEBAPP!C11</f>
        <v>10</v>
      </c>
    </row>
    <row r="116" spans="2:9" s="19" customFormat="1" ht="30" customHeight="1">
      <c r="B116" s="24" t="s">
        <v>43</v>
      </c>
      <c r="C116" s="62">
        <f>((Input_Data_Web_Systems!$H$17*(Input_Data_Web_Systems!C10+Input_Data_Web_Systems!C11))+(Input_Data_Web_Systems!$H$18*Input_Data_Web_Systems!C13))</f>
        <v>10</v>
      </c>
      <c r="D116" s="62">
        <f>((Input_Data_Web_Systems!$H$17*(Input_Data_Web_Systems!D10+Input_Data_Web_Systems!D11))+(Input_Data_Web_Systems!$H$18*Input_Data_Web_Systems!D13))</f>
        <v>9.9</v>
      </c>
      <c r="E116" s="62">
        <f>((Input_Data_Web_Systems!$H$17*(Input_Data_Web_Systems!E10+Input_Data_Web_Systems!E11))+(Input_Data_Web_Systems!$H$18*Input_Data_Web_Systems!E13))</f>
        <v>9.8</v>
      </c>
      <c r="F116" s="62">
        <f>((Input_Data_Web_Systems!$H$17*(Input_Data_Web_Systems!F10+Input_Data_Web_Systems!F11))+(Input_Data_Web_Systems!$H$18*Input_Data_Web_Systems!F13))</f>
        <v>9.7</v>
      </c>
      <c r="G116" s="62">
        <f>((Input_Data_Web_Systems!$H$17*(Input_Data_Web_Systems!G10+Input_Data_Web_Systems!G11))+(Input_Data_Web_Systems!$H$18*Input_Data_Web_Systems!G13))</f>
        <v>9.5</v>
      </c>
      <c r="H116" s="62">
        <f>((Input_Data_Web_Systems!$H$17*(Input_Data_Web_Systems!H10+Input_Data_Web_Systems!H11))+(Input_Data_Web_Systems!$H$18*Input_Data_Web_Systems!H13))</f>
        <v>9.2</v>
      </c>
      <c r="I116" s="19" t="s">
        <v>156</v>
      </c>
    </row>
    <row r="117" spans="2:8" s="19" customFormat="1" ht="15">
      <c r="B117" s="24" t="s">
        <v>45</v>
      </c>
      <c r="C117" s="62">
        <f aca="true" t="shared" si="3" ref="C117:H117">C115-C116</f>
        <v>0</v>
      </c>
      <c r="D117" s="62">
        <f t="shared" si="3"/>
        <v>0.09999999999999964</v>
      </c>
      <c r="E117" s="62">
        <f t="shared" si="3"/>
        <v>0.1999999999999993</v>
      </c>
      <c r="F117" s="62">
        <f t="shared" si="3"/>
        <v>0.3000000000000007</v>
      </c>
      <c r="G117" s="62">
        <f t="shared" si="3"/>
        <v>0.5</v>
      </c>
      <c r="H117" s="62">
        <f t="shared" si="3"/>
        <v>0.8000000000000007</v>
      </c>
    </row>
    <row r="118" spans="2:8" s="19" customFormat="1" ht="15.75" thickBot="1">
      <c r="B118" s="26" t="s">
        <v>44</v>
      </c>
      <c r="C118" s="33">
        <f aca="true" t="shared" si="4" ref="C118:H118">C117/365</f>
        <v>0</v>
      </c>
      <c r="D118" s="33">
        <f t="shared" si="4"/>
        <v>0.00027397260273972503</v>
      </c>
      <c r="E118" s="33">
        <f t="shared" si="4"/>
        <v>0.0005479452054794501</v>
      </c>
      <c r="F118" s="33">
        <f t="shared" si="4"/>
        <v>0.00082191780821918</v>
      </c>
      <c r="G118" s="33">
        <f t="shared" si="4"/>
        <v>0.0013698630136986301</v>
      </c>
      <c r="H118" s="33">
        <f t="shared" si="4"/>
        <v>0.0021917808219178102</v>
      </c>
    </row>
    <row r="119" spans="2:8" s="19" customFormat="1" ht="15">
      <c r="B119" s="28"/>
      <c r="C119" s="23"/>
      <c r="D119" s="23"/>
      <c r="E119" s="23"/>
      <c r="F119" s="23"/>
      <c r="G119" s="23"/>
      <c r="H119" s="23"/>
    </row>
    <row r="120" spans="2:8" s="19" customFormat="1" ht="15.75" thickBot="1">
      <c r="B120" s="28"/>
      <c r="C120" s="23"/>
      <c r="D120" s="23"/>
      <c r="E120" s="23"/>
      <c r="F120" s="23"/>
      <c r="G120" s="23"/>
      <c r="H120" s="23"/>
    </row>
    <row r="121" spans="2:8" s="19" customFormat="1" ht="15.75" thickBot="1">
      <c r="B121" s="63"/>
      <c r="C121" s="179">
        <v>2001</v>
      </c>
      <c r="D121" s="179">
        <v>2002</v>
      </c>
      <c r="E121" s="179">
        <v>2003</v>
      </c>
      <c r="F121" s="179">
        <v>2004</v>
      </c>
      <c r="G121" s="179">
        <v>2005</v>
      </c>
      <c r="H121" s="180">
        <v>2006</v>
      </c>
    </row>
    <row r="122" spans="2:8" s="19" customFormat="1" ht="15.75" thickBot="1">
      <c r="B122" s="189" t="s">
        <v>157</v>
      </c>
      <c r="C122" s="187">
        <f>Analysis_WEBAPP!C18*Analysis_WEBAPP!C118*Analysis_WEBAPP!C7</f>
        <v>0</v>
      </c>
      <c r="D122" s="187">
        <f>(Analysis_WEBAPP!D18)*1000*Analysis_WEBAPP!D118*Analysis_WEBAPP!$C$7</f>
        <v>2884.9315068493042</v>
      </c>
      <c r="E122" s="187">
        <f>(Analysis_WEBAPP!E18)*1000*Analysis_WEBAPP!E118*Analysis_WEBAPP!$C$7</f>
        <v>6231.452054794498</v>
      </c>
      <c r="F122" s="187">
        <f>(Analysis_WEBAPP!F18)*1000*Analysis_WEBAPP!F118*Analysis_WEBAPP!$C$7</f>
        <v>10094.952328767145</v>
      </c>
      <c r="G122" s="187">
        <f>(Analysis_WEBAPP!G18)*1000*Analysis_WEBAPP!G118*Analysis_WEBAPP!$C$7</f>
        <v>18170.914191780823</v>
      </c>
      <c r="H122" s="187">
        <f>(Analysis_WEBAPP!H18)*1000*Analysis_WEBAPP!H118*Analysis_WEBAPP!$C$7</f>
        <v>31399.339723397297</v>
      </c>
    </row>
    <row r="123" s="18" customFormat="1" ht="15"/>
    <row r="124" s="18" customFormat="1" ht="15.75" thickBot="1"/>
    <row r="125" spans="2:8" s="19" customFormat="1" ht="15.75" thickBot="1">
      <c r="B125" s="63"/>
      <c r="C125" s="179">
        <v>2001</v>
      </c>
      <c r="D125" s="179">
        <v>2002</v>
      </c>
      <c r="E125" s="179">
        <v>2003</v>
      </c>
      <c r="F125" s="179">
        <v>2004</v>
      </c>
      <c r="G125" s="179">
        <v>2005</v>
      </c>
      <c r="H125" s="180">
        <v>2006</v>
      </c>
    </row>
    <row r="126" spans="2:8" s="19" customFormat="1" ht="30">
      <c r="B126" s="20" t="s">
        <v>158</v>
      </c>
      <c r="C126" s="64">
        <f aca="true" t="shared" si="5" ref="C126:H126">C117/C115</f>
        <v>0</v>
      </c>
      <c r="D126" s="64">
        <f t="shared" si="5"/>
        <v>0.009999999999999964</v>
      </c>
      <c r="E126" s="64">
        <f t="shared" si="5"/>
        <v>0.019999999999999928</v>
      </c>
      <c r="F126" s="64">
        <f t="shared" si="5"/>
        <v>0.030000000000000072</v>
      </c>
      <c r="G126" s="64">
        <f t="shared" si="5"/>
        <v>0.05</v>
      </c>
      <c r="H126" s="64">
        <f t="shared" si="5"/>
        <v>0.08000000000000007</v>
      </c>
    </row>
    <row r="127" spans="2:8" s="19" customFormat="1" ht="30">
      <c r="B127" s="24" t="s">
        <v>159</v>
      </c>
      <c r="C127" s="224">
        <f aca="true" t="shared" si="6" ref="C127:H127">1-SQRT(1-C126)</f>
        <v>0</v>
      </c>
      <c r="D127" s="224">
        <f t="shared" si="6"/>
        <v>0.005012562893380035</v>
      </c>
      <c r="E127" s="224">
        <f t="shared" si="6"/>
        <v>0.01005050633883342</v>
      </c>
      <c r="F127" s="224">
        <f t="shared" si="6"/>
        <v>0.015114219820389518</v>
      </c>
      <c r="G127" s="224">
        <f t="shared" si="6"/>
        <v>0.025320565519103666</v>
      </c>
      <c r="H127" s="224">
        <f t="shared" si="6"/>
        <v>0.04083369533745618</v>
      </c>
    </row>
    <row r="128" spans="2:8" s="19" customFormat="1" ht="30.75" thickBot="1">
      <c r="B128" s="185" t="s">
        <v>46</v>
      </c>
      <c r="C128" s="186">
        <f>C127*Analysis_WEBAPP!$C$10*Analysis_WEBAPP!$C$7*1000</f>
        <v>0</v>
      </c>
      <c r="D128" s="186">
        <f>D127*Analysis_WEBAPP!$C$10*Analysis_WEBAPP!$C$7*1000</f>
        <v>9022.613208084062</v>
      </c>
      <c r="E128" s="186">
        <f>E127*Analysis_WEBAPP!$C$10*Analysis_WEBAPP!$C$7*1000</f>
        <v>18090.911409900156</v>
      </c>
      <c r="F128" s="186">
        <f>F127*Analysis_WEBAPP!$C$10*Analysis_WEBAPP!$C$7*1000</f>
        <v>27205.59567670113</v>
      </c>
      <c r="G128" s="186">
        <f>G127*Analysis_WEBAPP!$C$10*Analysis_WEBAPP!$C$7*1000</f>
        <v>45577.0179343866</v>
      </c>
      <c r="H128" s="186">
        <f>H127*Analysis_WEBAPP!$C$10*Analysis_WEBAPP!$C$7*1000</f>
        <v>73500.65160742112</v>
      </c>
    </row>
    <row r="129" s="19" customFormat="1" ht="15">
      <c r="B129" s="18"/>
    </row>
    <row r="130" s="19" customFormat="1" ht="15">
      <c r="B130" s="18"/>
    </row>
    <row r="131" s="19" customFormat="1" ht="15.75">
      <c r="B131" s="22" t="s">
        <v>49</v>
      </c>
    </row>
    <row r="132" s="19" customFormat="1" ht="15">
      <c r="B132" s="18"/>
    </row>
    <row r="133" spans="2:7" s="19" customFormat="1" ht="15">
      <c r="B133" s="293" t="s">
        <v>278</v>
      </c>
      <c r="C133" s="284"/>
      <c r="D133" s="284"/>
      <c r="E133" s="284"/>
      <c r="F133" s="284"/>
      <c r="G133" s="284"/>
    </row>
    <row r="134" s="19" customFormat="1" ht="15.75" thickBot="1">
      <c r="B134" s="18"/>
    </row>
    <row r="135" spans="2:8" s="19" customFormat="1" ht="15.75" thickBot="1">
      <c r="B135" s="63"/>
      <c r="C135" s="179">
        <v>2001</v>
      </c>
      <c r="D135" s="179">
        <v>2002</v>
      </c>
      <c r="E135" s="179">
        <v>2003</v>
      </c>
      <c r="F135" s="179">
        <v>2004</v>
      </c>
      <c r="G135" s="179">
        <v>2005</v>
      </c>
      <c r="H135" s="180">
        <v>2006</v>
      </c>
    </row>
    <row r="136" spans="2:8" s="19" customFormat="1" ht="15">
      <c r="B136" s="39" t="s">
        <v>164</v>
      </c>
      <c r="C136" s="183">
        <v>0</v>
      </c>
      <c r="D136" s="183">
        <f>(Analysis_WEBAPP!$C40*(Analysis_WEBAPP!$H71))*(Input_Data_Web_Systems!D13)</f>
        <v>0.75</v>
      </c>
      <c r="E136" s="183">
        <f>(Analysis_WEBAPP!$C40*(Analysis_WEBAPP!$H71-D136))*(Input_Data_Web_Systems!E13)</f>
        <v>1.482692307692308</v>
      </c>
      <c r="F136" s="183">
        <f>(Analysis_WEBAPP!$C40*(Analysis_WEBAPP!$H71-E136-D136))*(Input_Data_Web_Systems!F13)</f>
        <v>2.17271449704142</v>
      </c>
      <c r="G136" s="183">
        <f>(Analysis_WEBAPP!$C40*(Analysis_WEBAPP!$H71-D136-F136-E136))*(Input_Data_Web_Systems!G13)</f>
        <v>3.495841915111516</v>
      </c>
      <c r="H136" s="183">
        <f>(Analysis_WEBAPP!$C40*(Analysis_WEBAPP!$H71-D136-E136-G136-F136))*(Input_Data_Web_Systems!H13)</f>
        <v>5.270653964321977</v>
      </c>
    </row>
    <row r="137" spans="2:8" s="19" customFormat="1" ht="15">
      <c r="B137" s="24" t="s">
        <v>163</v>
      </c>
      <c r="C137" s="130">
        <f>Analysis_WEBAPP!$H72</f>
        <v>69615.38461538461</v>
      </c>
      <c r="D137" s="130">
        <f>Analysis_WEBAPP!$H72</f>
        <v>69615.38461538461</v>
      </c>
      <c r="E137" s="130">
        <f>Analysis_WEBAPP!$H72</f>
        <v>69615.38461538461</v>
      </c>
      <c r="F137" s="130">
        <f>Analysis_WEBAPP!$H72</f>
        <v>69615.38461538461</v>
      </c>
      <c r="G137" s="130">
        <f>Analysis_WEBAPP!$H72</f>
        <v>69615.38461538461</v>
      </c>
      <c r="H137" s="130">
        <f>Analysis_WEBAPP!$H72</f>
        <v>69615.38461538461</v>
      </c>
    </row>
    <row r="138" spans="2:8" s="19" customFormat="1" ht="15" customHeight="1" thickBot="1">
      <c r="B138" s="185" t="s">
        <v>61</v>
      </c>
      <c r="C138" s="186">
        <f aca="true" t="shared" si="7" ref="C138:H138">(C136*C137)</f>
        <v>0</v>
      </c>
      <c r="D138" s="186">
        <f t="shared" si="7"/>
        <v>52211.538461538454</v>
      </c>
      <c r="E138" s="186">
        <f t="shared" si="7"/>
        <v>103218.1952662722</v>
      </c>
      <c r="F138" s="186">
        <f t="shared" si="7"/>
        <v>151254.35537096037</v>
      </c>
      <c r="G138" s="186">
        <f t="shared" si="7"/>
        <v>243364.3794750709</v>
      </c>
      <c r="H138" s="186">
        <f t="shared" si="7"/>
        <v>366918.6029008761</v>
      </c>
    </row>
    <row r="139" s="19" customFormat="1" ht="15">
      <c r="B139" s="18"/>
    </row>
    <row r="140" s="19" customFormat="1" ht="15">
      <c r="B140" s="18"/>
    </row>
    <row r="141" spans="2:7" s="19" customFormat="1" ht="15">
      <c r="B141" s="293" t="s">
        <v>279</v>
      </c>
      <c r="C141" s="284"/>
      <c r="D141" s="284"/>
      <c r="E141" s="284"/>
      <c r="F141" s="284"/>
      <c r="G141" s="284"/>
    </row>
    <row r="142" s="19" customFormat="1" ht="15.75" thickBot="1">
      <c r="B142" s="18"/>
    </row>
    <row r="143" spans="2:8" s="19" customFormat="1" ht="15.75" thickBot="1">
      <c r="B143" s="63"/>
      <c r="C143" s="179">
        <v>2001</v>
      </c>
      <c r="D143" s="179">
        <v>2002</v>
      </c>
      <c r="E143" s="179">
        <v>2003</v>
      </c>
      <c r="F143" s="179">
        <v>2004</v>
      </c>
      <c r="G143" s="179">
        <v>2005</v>
      </c>
      <c r="H143" s="180">
        <v>2006</v>
      </c>
    </row>
    <row r="144" spans="2:8" s="19" customFormat="1" ht="15">
      <c r="B144" s="39" t="s">
        <v>256</v>
      </c>
      <c r="C144" s="183">
        <f>Cost_Benefits_RFQ_RN!$C$35*Cost_Benefits_RFQ_RN!$C$37*Input_Data_Web_Systems!C32</f>
        <v>0</v>
      </c>
      <c r="D144" s="183">
        <f>Cost_Benefits_RFQ_RN!$C$35*Cost_Benefits_RFQ_RN!$C$37*Input_Data_Web_Systems!D32</f>
        <v>0.12</v>
      </c>
      <c r="E144" s="183">
        <f>Cost_Benefits_RFQ_RN!$C$35*Cost_Benefits_RFQ_RN!$C$37*Input_Data_Web_Systems!E32</f>
        <v>0.24</v>
      </c>
      <c r="F144" s="183">
        <f>Cost_Benefits_RFQ_RN!$C$35*Cost_Benefits_RFQ_RN!$C$37*Input_Data_Web_Systems!F32</f>
        <v>0.36</v>
      </c>
      <c r="G144" s="183">
        <f>Cost_Benefits_RFQ_RN!$C$35*Cost_Benefits_RFQ_RN!$C$37*Input_Data_Web_Systems!G32</f>
        <v>0.48</v>
      </c>
      <c r="H144" s="183">
        <f>Cost_Benefits_RFQ_RN!$C$35*Cost_Benefits_RFQ_RN!$C$37*Input_Data_Web_Systems!H32</f>
        <v>0.6</v>
      </c>
    </row>
    <row r="145" spans="2:8" s="19" customFormat="1" ht="15">
      <c r="B145" s="24" t="s">
        <v>163</v>
      </c>
      <c r="C145" s="130">
        <f>Cost_Benefits_RFQ_RN!$C$36</f>
        <v>70000</v>
      </c>
      <c r="D145" s="130">
        <f>Cost_Benefits_RFQ_RN!$C$36</f>
        <v>70000</v>
      </c>
      <c r="E145" s="130">
        <f>Cost_Benefits_RFQ_RN!$C$36</f>
        <v>70000</v>
      </c>
      <c r="F145" s="130">
        <f>Cost_Benefits_RFQ_RN!$C$36</f>
        <v>70000</v>
      </c>
      <c r="G145" s="130">
        <f>Cost_Benefits_RFQ_RN!$C$36</f>
        <v>70000</v>
      </c>
      <c r="H145" s="130">
        <f>Cost_Benefits_RFQ_RN!$C$36</f>
        <v>70000</v>
      </c>
    </row>
    <row r="146" spans="2:8" s="19" customFormat="1" ht="15" customHeight="1" thickBot="1">
      <c r="B146" s="185" t="s">
        <v>61</v>
      </c>
      <c r="C146" s="186">
        <f aca="true" t="shared" si="8" ref="C146:H146">(C144*C145)</f>
        <v>0</v>
      </c>
      <c r="D146" s="186">
        <f t="shared" si="8"/>
        <v>8400</v>
      </c>
      <c r="E146" s="186">
        <f t="shared" si="8"/>
        <v>16800</v>
      </c>
      <c r="F146" s="186">
        <f t="shared" si="8"/>
        <v>25200</v>
      </c>
      <c r="G146" s="186">
        <f t="shared" si="8"/>
        <v>33600</v>
      </c>
      <c r="H146" s="221">
        <f t="shared" si="8"/>
        <v>42000</v>
      </c>
    </row>
    <row r="147" s="19" customFormat="1" ht="15">
      <c r="B147" s="18"/>
    </row>
    <row r="148" s="19" customFormat="1" ht="15">
      <c r="B148" s="18"/>
    </row>
    <row r="149" s="19" customFormat="1" ht="15">
      <c r="B149" s="18"/>
    </row>
    <row r="150" s="19" customFormat="1" ht="15">
      <c r="B150" s="18"/>
    </row>
    <row r="151" s="19" customFormat="1" ht="15">
      <c r="B151" s="18"/>
    </row>
    <row r="152" spans="2:8" ht="13.5" thickBot="1">
      <c r="B152" s="96"/>
      <c r="C152" s="111"/>
      <c r="D152" s="111"/>
      <c r="E152" s="111"/>
      <c r="F152" s="111"/>
      <c r="G152" s="111"/>
      <c r="H152" s="111"/>
    </row>
    <row r="153" spans="2:8" ht="12.75">
      <c r="B153" s="96"/>
      <c r="C153" s="246" t="s">
        <v>201</v>
      </c>
      <c r="D153" s="247"/>
      <c r="E153" s="248"/>
      <c r="F153" s="111"/>
      <c r="G153" s="111"/>
      <c r="H153" s="111"/>
    </row>
    <row r="154" spans="3:5" ht="12.75">
      <c r="C154" s="249"/>
      <c r="D154" s="250"/>
      <c r="E154" s="251"/>
    </row>
    <row r="155" spans="3:5" ht="13.5" thickBot="1">
      <c r="C155" s="252"/>
      <c r="D155" s="253"/>
      <c r="E155" s="254"/>
    </row>
  </sheetData>
  <mergeCells count="19">
    <mergeCell ref="B46:G46"/>
    <mergeCell ref="B47:G47"/>
    <mergeCell ref="B48:G48"/>
    <mergeCell ref="B104:H104"/>
    <mergeCell ref="E71:G71"/>
    <mergeCell ref="E72:G73"/>
    <mergeCell ref="B98:F98"/>
    <mergeCell ref="B22:G22"/>
    <mergeCell ref="B20:G20"/>
    <mergeCell ref="B23:G23"/>
    <mergeCell ref="B24:G24"/>
    <mergeCell ref="B21:G21"/>
    <mergeCell ref="C153:E155"/>
    <mergeCell ref="B141:G141"/>
    <mergeCell ref="H72:H73"/>
    <mergeCell ref="D78:G78"/>
    <mergeCell ref="D75:G75"/>
    <mergeCell ref="D81:G81"/>
    <mergeCell ref="B133:G133"/>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K34"/>
  <sheetViews>
    <sheetView workbookViewId="0" topLeftCell="A1">
      <selection activeCell="C21" sqref="C21:D21"/>
    </sheetView>
  </sheetViews>
  <sheetFormatPr defaultColWidth="9.140625" defaultRowHeight="12.75"/>
  <cols>
    <col min="1" max="1" width="4.00390625" style="19" customWidth="1"/>
    <col min="2" max="2" width="9.140625" style="19" customWidth="1"/>
    <col min="3" max="3" width="25.8515625" style="19" bestFit="1" customWidth="1"/>
    <col min="4" max="4" width="17.421875" style="19" bestFit="1" customWidth="1"/>
    <col min="5" max="5" width="13.57421875" style="19" bestFit="1" customWidth="1"/>
    <col min="6" max="6" width="11.421875" style="19" customWidth="1"/>
    <col min="7" max="8" width="12.7109375" style="19" bestFit="1" customWidth="1"/>
    <col min="9" max="9" width="12.8515625" style="19" bestFit="1" customWidth="1"/>
    <col min="10" max="10" width="14.7109375" style="19" bestFit="1" customWidth="1"/>
    <col min="11" max="16384" width="9.140625" style="19" customWidth="1"/>
  </cols>
  <sheetData>
    <row r="1" ht="15">
      <c r="D1" s="19" t="s">
        <v>29</v>
      </c>
    </row>
    <row r="2" ht="15.75">
      <c r="A2" s="17" t="s">
        <v>0</v>
      </c>
    </row>
    <row r="4" ht="15.75" thickBot="1"/>
    <row r="5" spans="2:10" ht="15.75">
      <c r="B5" s="66" t="s">
        <v>54</v>
      </c>
      <c r="C5" s="37"/>
      <c r="D5" s="37"/>
      <c r="E5" s="37"/>
      <c r="F5" s="37"/>
      <c r="G5" s="37"/>
      <c r="H5" s="37"/>
      <c r="I5" s="37"/>
      <c r="J5" s="67"/>
    </row>
    <row r="6" spans="2:10" ht="15.75">
      <c r="B6" s="68"/>
      <c r="C6" s="62"/>
      <c r="D6" s="62"/>
      <c r="E6" s="204">
        <v>2001</v>
      </c>
      <c r="F6" s="204">
        <v>2002</v>
      </c>
      <c r="G6" s="204">
        <v>2003</v>
      </c>
      <c r="H6" s="204">
        <v>2004</v>
      </c>
      <c r="I6" s="204">
        <v>2005</v>
      </c>
      <c r="J6" s="205">
        <v>2006</v>
      </c>
    </row>
    <row r="7" spans="2:10" ht="15">
      <c r="B7" s="68"/>
      <c r="C7" s="304" t="s">
        <v>23</v>
      </c>
      <c r="D7" s="306"/>
      <c r="E7" s="130">
        <f>Input_Data_Web_Systems!D44+Input_Data_Web_Systems!D47+Input_Data_Web_Systems!D52</f>
        <v>949999.5</v>
      </c>
      <c r="F7" s="130">
        <v>0</v>
      </c>
      <c r="G7" s="130">
        <v>0</v>
      </c>
      <c r="H7" s="130">
        <v>0</v>
      </c>
      <c r="I7" s="130">
        <v>0</v>
      </c>
      <c r="J7" s="133">
        <v>0</v>
      </c>
    </row>
    <row r="8" spans="2:10" ht="15">
      <c r="B8" s="68"/>
      <c r="C8" s="304" t="s">
        <v>6</v>
      </c>
      <c r="D8" s="306"/>
      <c r="E8" s="130">
        <f>Input_Data_Web_Systems!D58</f>
        <v>575000</v>
      </c>
      <c r="F8" s="130">
        <f>Input_Data_Web_Systems!D58</f>
        <v>575000</v>
      </c>
      <c r="G8" s="130">
        <f>Input_Data_Web_Systems!D58</f>
        <v>575000</v>
      </c>
      <c r="H8" s="130">
        <f>Input_Data_Web_Systems!D58</f>
        <v>575000</v>
      </c>
      <c r="I8" s="130">
        <f>Input_Data_Web_Systems!D58</f>
        <v>575000</v>
      </c>
      <c r="J8" s="133">
        <f>Input_Data_Web_Systems!D58</f>
        <v>575000</v>
      </c>
    </row>
    <row r="9" spans="2:10" ht="15.75">
      <c r="B9" s="68"/>
      <c r="C9" s="302" t="s">
        <v>206</v>
      </c>
      <c r="D9" s="307"/>
      <c r="E9" s="134">
        <f aca="true" t="shared" si="0" ref="E9:J9">E7+E8</f>
        <v>1524999.5</v>
      </c>
      <c r="F9" s="134">
        <f t="shared" si="0"/>
        <v>575000</v>
      </c>
      <c r="G9" s="134">
        <f t="shared" si="0"/>
        <v>575000</v>
      </c>
      <c r="H9" s="134">
        <f t="shared" si="0"/>
        <v>575000</v>
      </c>
      <c r="I9" s="134">
        <f t="shared" si="0"/>
        <v>575000</v>
      </c>
      <c r="J9" s="135">
        <f t="shared" si="0"/>
        <v>575000</v>
      </c>
    </row>
    <row r="10" spans="2:10" ht="15">
      <c r="B10" s="68"/>
      <c r="C10" s="23"/>
      <c r="D10" s="23"/>
      <c r="E10" s="23"/>
      <c r="F10" s="23"/>
      <c r="G10" s="23"/>
      <c r="H10" s="23"/>
      <c r="I10" s="23"/>
      <c r="J10" s="69"/>
    </row>
    <row r="11" spans="2:10" ht="15">
      <c r="B11" s="68"/>
      <c r="C11" s="23"/>
      <c r="D11" s="23"/>
      <c r="E11" s="23"/>
      <c r="F11" s="23"/>
      <c r="G11" s="23"/>
      <c r="H11" s="23"/>
      <c r="I11" s="23"/>
      <c r="J11" s="69"/>
    </row>
    <row r="12" spans="2:10" ht="15.75">
      <c r="B12" s="70" t="s">
        <v>55</v>
      </c>
      <c r="C12" s="23"/>
      <c r="D12" s="23"/>
      <c r="E12" s="23"/>
      <c r="F12" s="23"/>
      <c r="G12" s="23"/>
      <c r="H12" s="23"/>
      <c r="I12" s="23"/>
      <c r="J12" s="69"/>
    </row>
    <row r="13" spans="2:10" ht="16.5" thickBot="1">
      <c r="B13" s="68"/>
      <c r="C13" s="62"/>
      <c r="D13" s="62"/>
      <c r="E13" s="204">
        <v>2001</v>
      </c>
      <c r="F13" s="204">
        <v>2002</v>
      </c>
      <c r="G13" s="204">
        <v>2003</v>
      </c>
      <c r="H13" s="204">
        <v>2004</v>
      </c>
      <c r="I13" s="204">
        <v>2005</v>
      </c>
      <c r="J13" s="205">
        <v>2006</v>
      </c>
    </row>
    <row r="14" spans="2:11" ht="15.75" thickBot="1">
      <c r="B14" s="68"/>
      <c r="C14" s="42"/>
      <c r="D14" s="85"/>
      <c r="E14" s="62"/>
      <c r="F14" s="62"/>
      <c r="G14" s="62"/>
      <c r="H14" s="62"/>
      <c r="I14" s="62"/>
      <c r="J14" s="61"/>
      <c r="K14" s="203"/>
    </row>
    <row r="15" spans="2:10" ht="15">
      <c r="B15" s="68"/>
      <c r="C15" s="304" t="s">
        <v>185</v>
      </c>
      <c r="D15" s="306"/>
      <c r="E15" s="130">
        <f>Analysis_WEBAPP!C111</f>
        <v>0</v>
      </c>
      <c r="F15" s="130">
        <f>Analysis_WEBAPP!D111</f>
        <v>315710.6796116509</v>
      </c>
      <c r="G15" s="130">
        <f>Analysis_WEBAPP!E111</f>
        <v>694563.4951456294</v>
      </c>
      <c r="H15" s="130">
        <f>Analysis_WEBAPP!F111</f>
        <v>1146029.76699029</v>
      </c>
      <c r="I15" s="130">
        <f>Analysis_WEBAPP!G111</f>
        <v>2101054.5728155337</v>
      </c>
      <c r="J15" s="133">
        <f>Analysis_WEBAPP!H111</f>
        <v>3697856.048155341</v>
      </c>
    </row>
    <row r="16" spans="2:10" ht="15">
      <c r="B16" s="68"/>
      <c r="C16" s="304" t="s">
        <v>186</v>
      </c>
      <c r="D16" s="262"/>
      <c r="E16" s="130">
        <f>Analysis_WEBAPP!C61</f>
        <v>0</v>
      </c>
      <c r="F16" s="130">
        <f>Analysis_WEBAPP!D61</f>
        <v>1100</v>
      </c>
      <c r="G16" s="130">
        <f>Analysis_WEBAPP!E61</f>
        <v>2420</v>
      </c>
      <c r="H16" s="130">
        <f>Analysis_WEBAPP!F61</f>
        <v>3993</v>
      </c>
      <c r="I16" s="130">
        <f>Analysis_WEBAPP!G61</f>
        <v>5856.400000000009</v>
      </c>
      <c r="J16" s="133">
        <f>Analysis_WEBAPP!H61</f>
        <v>8052.549999999988</v>
      </c>
    </row>
    <row r="17" spans="2:10" ht="15">
      <c r="B17" s="68"/>
      <c r="C17" s="305" t="s">
        <v>167</v>
      </c>
      <c r="D17" s="262"/>
      <c r="E17" s="62"/>
      <c r="F17" s="62"/>
      <c r="G17" s="62"/>
      <c r="H17" s="62"/>
      <c r="I17" s="62"/>
      <c r="J17" s="61"/>
    </row>
    <row r="18" spans="2:10" ht="15">
      <c r="B18" s="68"/>
      <c r="C18" s="304" t="s">
        <v>277</v>
      </c>
      <c r="D18" s="306"/>
      <c r="E18" s="130">
        <f>Analysis_WEBAPP!C138+Analysis_WEBAPP!C146</f>
        <v>0</v>
      </c>
      <c r="F18" s="130">
        <f>Analysis_WEBAPP!D138+Analysis_WEBAPP!D146</f>
        <v>60611.538461538454</v>
      </c>
      <c r="G18" s="130">
        <f>Analysis_WEBAPP!E138+Analysis_WEBAPP!E146</f>
        <v>120018.1952662722</v>
      </c>
      <c r="H18" s="130">
        <f>Analysis_WEBAPP!F138+Analysis_WEBAPP!F146</f>
        <v>176454.35537096037</v>
      </c>
      <c r="I18" s="130">
        <f>Analysis_WEBAPP!G138+Analysis_WEBAPP!G146</f>
        <v>276964.37947507086</v>
      </c>
      <c r="J18" s="133">
        <f>Analysis_WEBAPP!H138+Analysis_WEBAPP!H146</f>
        <v>408918.6029008761</v>
      </c>
    </row>
    <row r="19" spans="2:10" ht="15">
      <c r="B19" s="68"/>
      <c r="C19" s="305" t="s">
        <v>168</v>
      </c>
      <c r="D19" s="262"/>
      <c r="E19" s="62"/>
      <c r="F19" s="62"/>
      <c r="G19" s="62"/>
      <c r="H19" s="62"/>
      <c r="I19" s="62"/>
      <c r="J19" s="61"/>
    </row>
    <row r="20" spans="2:10" ht="15">
      <c r="B20" s="68"/>
      <c r="C20" s="223" t="s">
        <v>292</v>
      </c>
      <c r="D20" s="222"/>
      <c r="E20" s="130">
        <f>Analysis_WEBAPP!C128</f>
        <v>0</v>
      </c>
      <c r="F20" s="130">
        <f>Analysis_WEBAPP!D128</f>
        <v>9022.613208084062</v>
      </c>
      <c r="G20" s="130">
        <f>Analysis_WEBAPP!E128</f>
        <v>18090.911409900156</v>
      </c>
      <c r="H20" s="130">
        <f>Analysis_WEBAPP!F128</f>
        <v>27205.59567670113</v>
      </c>
      <c r="I20" s="130">
        <f>Analysis_WEBAPP!G128</f>
        <v>45577.0179343866</v>
      </c>
      <c r="J20" s="133">
        <f>Analysis_WEBAPP!H128</f>
        <v>73500.65160742112</v>
      </c>
    </row>
    <row r="21" spans="2:10" ht="15">
      <c r="B21" s="68"/>
      <c r="C21" s="304" t="s">
        <v>261</v>
      </c>
      <c r="D21" s="306"/>
      <c r="E21" s="130">
        <f>Analysis_WEBAPP!C122</f>
        <v>0</v>
      </c>
      <c r="F21" s="130">
        <f>Analysis_WEBAPP!D122</f>
        <v>2884.9315068493042</v>
      </c>
      <c r="G21" s="130">
        <f>Analysis_WEBAPP!E122</f>
        <v>6231.452054794498</v>
      </c>
      <c r="H21" s="130">
        <f>Analysis_WEBAPP!F122</f>
        <v>10094.952328767145</v>
      </c>
      <c r="I21" s="130">
        <f>Analysis_WEBAPP!G122</f>
        <v>18170.914191780823</v>
      </c>
      <c r="J21" s="133">
        <f>Analysis_WEBAPP!H122</f>
        <v>31399.339723397297</v>
      </c>
    </row>
    <row r="22" spans="2:10" ht="15.75">
      <c r="B22" s="68"/>
      <c r="C22" s="302" t="s">
        <v>207</v>
      </c>
      <c r="D22" s="307"/>
      <c r="E22" s="134">
        <f>E15+E16+E20+E18+E19+E21</f>
        <v>0</v>
      </c>
      <c r="F22" s="134">
        <f>SUM(F15:F21)</f>
        <v>389329.7627881227</v>
      </c>
      <c r="G22" s="134">
        <f>SUM(G15:G21)</f>
        <v>841324.0538765963</v>
      </c>
      <c r="H22" s="134">
        <f>SUM(H15:H21)</f>
        <v>1363777.6703667187</v>
      </c>
      <c r="I22" s="134">
        <f>SUM(I15:I21)</f>
        <v>2447623.2844167715</v>
      </c>
      <c r="J22" s="135">
        <f>SUM(J15:J21)</f>
        <v>4219727.192387035</v>
      </c>
    </row>
    <row r="23" spans="2:10" ht="15">
      <c r="B23" s="68"/>
      <c r="C23" s="23"/>
      <c r="D23" s="23"/>
      <c r="E23" s="23"/>
      <c r="F23" s="23"/>
      <c r="G23" s="23"/>
      <c r="H23" s="23"/>
      <c r="I23" s="23"/>
      <c r="J23" s="69"/>
    </row>
    <row r="24" spans="2:10" ht="15.75">
      <c r="B24" s="70" t="s">
        <v>56</v>
      </c>
      <c r="C24" s="23"/>
      <c r="D24" s="23"/>
      <c r="E24" s="23"/>
      <c r="F24" s="23"/>
      <c r="G24" s="23"/>
      <c r="H24" s="23"/>
      <c r="I24" s="23"/>
      <c r="J24" s="69"/>
    </row>
    <row r="25" spans="2:10" ht="16.5" thickBot="1">
      <c r="B25" s="68"/>
      <c r="C25" s="304"/>
      <c r="D25" s="306"/>
      <c r="E25" s="206">
        <v>2001</v>
      </c>
      <c r="F25" s="206">
        <v>2002</v>
      </c>
      <c r="G25" s="206">
        <v>2003</v>
      </c>
      <c r="H25" s="206">
        <v>2004</v>
      </c>
      <c r="I25" s="206">
        <v>2005</v>
      </c>
      <c r="J25" s="207">
        <v>2006</v>
      </c>
    </row>
    <row r="26" spans="2:10" ht="16.5" thickBot="1">
      <c r="B26" s="68"/>
      <c r="C26" s="302" t="s">
        <v>214</v>
      </c>
      <c r="D26" s="303"/>
      <c r="E26" s="136">
        <f aca="true" t="shared" si="1" ref="E26:J26">E22-E9</f>
        <v>-1524999.5</v>
      </c>
      <c r="F26" s="137">
        <f t="shared" si="1"/>
        <v>-185670.2372118773</v>
      </c>
      <c r="G26" s="137">
        <f t="shared" si="1"/>
        <v>266324.05387659627</v>
      </c>
      <c r="H26" s="137">
        <f t="shared" si="1"/>
        <v>788777.6703667187</v>
      </c>
      <c r="I26" s="137">
        <f t="shared" si="1"/>
        <v>1872623.2844167715</v>
      </c>
      <c r="J26" s="138">
        <f t="shared" si="1"/>
        <v>3644727.192387035</v>
      </c>
    </row>
    <row r="27" spans="2:10" ht="15.75" thickBot="1">
      <c r="B27" s="71"/>
      <c r="C27" s="72"/>
      <c r="D27" s="72"/>
      <c r="E27" s="72"/>
      <c r="F27" s="72"/>
      <c r="G27" s="72"/>
      <c r="H27" s="72"/>
      <c r="I27" s="72"/>
      <c r="J27" s="73"/>
    </row>
    <row r="28" spans="2:10" ht="15">
      <c r="B28" s="23"/>
      <c r="C28" s="23"/>
      <c r="D28" s="23"/>
      <c r="E28" s="23"/>
      <c r="F28" s="23"/>
      <c r="G28" s="23"/>
      <c r="H28" s="23"/>
      <c r="I28" s="23"/>
      <c r="J28" s="23"/>
    </row>
    <row r="29" spans="2:10" ht="15.75" thickBot="1">
      <c r="B29" s="23"/>
      <c r="C29" s="23"/>
      <c r="D29" s="23"/>
      <c r="E29" s="23"/>
      <c r="F29" s="23"/>
      <c r="G29" s="23"/>
      <c r="H29" s="23"/>
      <c r="I29" s="23"/>
      <c r="J29" s="23"/>
    </row>
    <row r="30" spans="2:9" ht="15.75">
      <c r="B30" s="19" t="s">
        <v>29</v>
      </c>
      <c r="C30" s="157" t="s">
        <v>208</v>
      </c>
      <c r="D30" s="132">
        <f>NPV(Analysis_WEBAPP!C7,E26:J26)</f>
        <v>1666359.5616101085</v>
      </c>
      <c r="F30" s="159"/>
      <c r="G30" s="159"/>
      <c r="H30" s="159"/>
      <c r="I30" s="23"/>
    </row>
    <row r="31" spans="3:9" ht="15">
      <c r="C31" s="84" t="s">
        <v>209</v>
      </c>
      <c r="D31" s="160">
        <f>NPV(Analysis_WEBAPP!C7,E9:J9)</f>
        <v>3002164.070744832</v>
      </c>
      <c r="E31" s="19" t="s">
        <v>212</v>
      </c>
      <c r="F31" s="159"/>
      <c r="G31" s="159"/>
      <c r="H31" s="159"/>
      <c r="I31" s="23"/>
    </row>
    <row r="32" spans="3:9" ht="15">
      <c r="C32" s="84" t="s">
        <v>210</v>
      </c>
      <c r="D32" s="160">
        <f>NPV(Analysis_WEBAPP!C7,E22:J22)</f>
        <v>4668523.632354941</v>
      </c>
      <c r="E32" s="19" t="s">
        <v>213</v>
      </c>
      <c r="F32" s="159"/>
      <c r="G32" s="159"/>
      <c r="H32" s="159"/>
      <c r="I32" s="23"/>
    </row>
    <row r="33" spans="3:9" ht="15">
      <c r="C33" s="158" t="s">
        <v>211</v>
      </c>
      <c r="D33" s="161">
        <f>D32/D31</f>
        <v>1.5550527960307938</v>
      </c>
      <c r="F33" s="159"/>
      <c r="G33" s="159"/>
      <c r="H33" s="159"/>
      <c r="I33" s="23"/>
    </row>
    <row r="34" spans="3:9" ht="15.75" thickBot="1">
      <c r="C34" s="74" t="s">
        <v>58</v>
      </c>
      <c r="D34" s="163">
        <f>IRR(E26:J26)</f>
        <v>0.38516290326163405</v>
      </c>
      <c r="F34" s="159"/>
      <c r="G34" s="159"/>
      <c r="H34" s="159"/>
      <c r="I34" s="23"/>
    </row>
  </sheetData>
  <mergeCells count="12">
    <mergeCell ref="C7:D7"/>
    <mergeCell ref="C8:D8"/>
    <mergeCell ref="C9:D9"/>
    <mergeCell ref="C15:D15"/>
    <mergeCell ref="C26:D26"/>
    <mergeCell ref="C16:D16"/>
    <mergeCell ref="C19:D19"/>
    <mergeCell ref="C21:D21"/>
    <mergeCell ref="C22:D22"/>
    <mergeCell ref="C17:D17"/>
    <mergeCell ref="C18:D18"/>
    <mergeCell ref="C25:D2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35"/>
  <sheetViews>
    <sheetView workbookViewId="0" topLeftCell="A1">
      <selection activeCell="C22" sqref="C22:D22"/>
    </sheetView>
  </sheetViews>
  <sheetFormatPr defaultColWidth="9.140625" defaultRowHeight="12.75"/>
  <cols>
    <col min="1" max="1" width="4.00390625" style="19" customWidth="1"/>
    <col min="2" max="2" width="9.140625" style="19" customWidth="1"/>
    <col min="3" max="3" width="25.8515625" style="19" bestFit="1" customWidth="1"/>
    <col min="4" max="4" width="17.421875" style="19" bestFit="1" customWidth="1"/>
    <col min="5" max="5" width="13.57421875" style="19" bestFit="1" customWidth="1"/>
    <col min="6" max="6" width="10.8515625" style="19" bestFit="1" customWidth="1"/>
    <col min="7" max="8" width="12.7109375" style="19" bestFit="1" customWidth="1"/>
    <col min="9" max="9" width="12.8515625" style="19" bestFit="1" customWidth="1"/>
    <col min="10" max="10" width="14.7109375" style="19" bestFit="1" customWidth="1"/>
    <col min="11" max="16384" width="9.140625" style="19" customWidth="1"/>
  </cols>
  <sheetData>
    <row r="1" ht="15">
      <c r="D1" s="19" t="s">
        <v>29</v>
      </c>
    </row>
    <row r="2" ht="15.75">
      <c r="A2" s="17" t="s">
        <v>0</v>
      </c>
    </row>
    <row r="4" ht="15.75" thickBot="1"/>
    <row r="5" spans="2:10" ht="15.75">
      <c r="B5" s="66" t="s">
        <v>54</v>
      </c>
      <c r="C5" s="37"/>
      <c r="D5" s="37"/>
      <c r="E5" s="37"/>
      <c r="F5" s="37"/>
      <c r="G5" s="37"/>
      <c r="H5" s="37"/>
      <c r="I5" s="37"/>
      <c r="J5" s="67"/>
    </row>
    <row r="6" spans="2:10" ht="15.75">
      <c r="B6" s="68"/>
      <c r="C6" s="62"/>
      <c r="D6" s="62"/>
      <c r="E6" s="204">
        <v>2001</v>
      </c>
      <c r="F6" s="204">
        <v>2002</v>
      </c>
      <c r="G6" s="204">
        <v>2003</v>
      </c>
      <c r="H6" s="204">
        <v>2004</v>
      </c>
      <c r="I6" s="204">
        <v>2005</v>
      </c>
      <c r="J6" s="205">
        <v>2006</v>
      </c>
    </row>
    <row r="7" spans="2:10" ht="15">
      <c r="B7" s="68"/>
      <c r="C7" s="304" t="s">
        <v>23</v>
      </c>
      <c r="D7" s="306"/>
      <c r="E7" s="130">
        <f>Costs_PO_RN!D6+Costs_PO_RN!D9+Costs_PO_RN!D14</f>
        <v>1130000</v>
      </c>
      <c r="F7" s="130">
        <v>0</v>
      </c>
      <c r="G7" s="130">
        <v>0</v>
      </c>
      <c r="H7" s="130">
        <v>0</v>
      </c>
      <c r="I7" s="130">
        <v>0</v>
      </c>
      <c r="J7" s="133">
        <v>0</v>
      </c>
    </row>
    <row r="8" spans="2:10" ht="15">
      <c r="B8" s="68"/>
      <c r="C8" s="304" t="s">
        <v>6</v>
      </c>
      <c r="D8" s="306"/>
      <c r="E8" s="130">
        <f>Costs_PO_RN!D21</f>
        <v>325000</v>
      </c>
      <c r="F8" s="130">
        <f>Costs_PO_RN!D21</f>
        <v>325000</v>
      </c>
      <c r="G8" s="130">
        <f>Costs_PO_RN!D21</f>
        <v>325000</v>
      </c>
      <c r="H8" s="130">
        <f>Costs_PO_RN!D21</f>
        <v>325000</v>
      </c>
      <c r="I8" s="130">
        <f>Costs_PO_RN!D21</f>
        <v>325000</v>
      </c>
      <c r="J8" s="133">
        <f>Costs_PO_RN!D21</f>
        <v>325000</v>
      </c>
    </row>
    <row r="9" spans="2:10" ht="15">
      <c r="B9" s="68"/>
      <c r="C9" s="304" t="s">
        <v>24</v>
      </c>
      <c r="D9" s="306"/>
      <c r="E9" s="130">
        <f>Costs_PO_RN!C25</f>
        <v>66666.66666666666</v>
      </c>
      <c r="F9" s="130">
        <f>Costs_PO_RN!D25</f>
        <v>66666.66666666666</v>
      </c>
      <c r="G9" s="130">
        <f>Costs_PO_RN!E25</f>
        <v>33333.33333333333</v>
      </c>
      <c r="H9" s="130">
        <f>Costs_PO_RN!F25</f>
        <v>33333.33333333333</v>
      </c>
      <c r="I9" s="130">
        <f>Costs_PO_RN!G25</f>
        <v>16666.666666666664</v>
      </c>
      <c r="J9" s="133">
        <f>Costs_PO_RN!H25</f>
        <v>16666.666666666664</v>
      </c>
    </row>
    <row r="10" spans="2:10" ht="15.75">
      <c r="B10" s="68"/>
      <c r="C10" s="302" t="s">
        <v>206</v>
      </c>
      <c r="D10" s="307"/>
      <c r="E10" s="134">
        <f aca="true" t="shared" si="0" ref="E10:J10">E7+E8+E9</f>
        <v>1521666.6666666667</v>
      </c>
      <c r="F10" s="134">
        <f t="shared" si="0"/>
        <v>391666.6666666666</v>
      </c>
      <c r="G10" s="134">
        <f t="shared" si="0"/>
        <v>358333.3333333333</v>
      </c>
      <c r="H10" s="134">
        <f t="shared" si="0"/>
        <v>358333.3333333333</v>
      </c>
      <c r="I10" s="134">
        <f t="shared" si="0"/>
        <v>341666.6666666667</v>
      </c>
      <c r="J10" s="135">
        <f t="shared" si="0"/>
        <v>341666.6666666667</v>
      </c>
    </row>
    <row r="11" spans="2:10" ht="15">
      <c r="B11" s="68"/>
      <c r="C11" s="23"/>
      <c r="D11" s="23"/>
      <c r="E11" s="23"/>
      <c r="F11" s="23"/>
      <c r="G11" s="23"/>
      <c r="H11" s="23"/>
      <c r="I11" s="23"/>
      <c r="J11" s="69"/>
    </row>
    <row r="12" spans="2:10" ht="15">
      <c r="B12" s="68"/>
      <c r="C12" s="23"/>
      <c r="D12" s="23"/>
      <c r="E12" s="23"/>
      <c r="F12" s="23"/>
      <c r="G12" s="23"/>
      <c r="H12" s="23"/>
      <c r="I12" s="23"/>
      <c r="J12" s="69"/>
    </row>
    <row r="13" spans="2:10" ht="15.75">
      <c r="B13" s="70" t="s">
        <v>55</v>
      </c>
      <c r="C13" s="23"/>
      <c r="D13" s="23"/>
      <c r="E13" s="23"/>
      <c r="F13" s="23"/>
      <c r="G13" s="23"/>
      <c r="H13" s="23"/>
      <c r="I13" s="23"/>
      <c r="J13" s="69"/>
    </row>
    <row r="14" spans="2:10" ht="16.5" thickBot="1">
      <c r="B14" s="68"/>
      <c r="C14" s="62"/>
      <c r="D14" s="62"/>
      <c r="E14" s="204">
        <v>2001</v>
      </c>
      <c r="F14" s="204">
        <v>2002</v>
      </c>
      <c r="G14" s="204">
        <v>2003</v>
      </c>
      <c r="H14" s="204">
        <v>2004</v>
      </c>
      <c r="I14" s="204">
        <v>2005</v>
      </c>
      <c r="J14" s="205">
        <v>2006</v>
      </c>
    </row>
    <row r="15" spans="2:11" ht="15.75" thickBot="1">
      <c r="B15" s="68"/>
      <c r="C15" s="42"/>
      <c r="D15" s="85"/>
      <c r="E15" s="62"/>
      <c r="F15" s="62"/>
      <c r="G15" s="62"/>
      <c r="H15" s="62"/>
      <c r="I15" s="62"/>
      <c r="J15" s="61"/>
      <c r="K15" s="203"/>
    </row>
    <row r="16" spans="2:10" ht="15">
      <c r="B16" s="68"/>
      <c r="C16" s="304" t="s">
        <v>185</v>
      </c>
      <c r="D16" s="306"/>
      <c r="E16" s="130">
        <f>Benefits_PO_RN!C14</f>
        <v>0</v>
      </c>
      <c r="F16" s="130">
        <f>Benefits_PO_RN!D14</f>
        <v>315710.6796116509</v>
      </c>
      <c r="G16" s="130">
        <f>Benefits_PO_RN!E14</f>
        <v>694563.4951456294</v>
      </c>
      <c r="H16" s="130">
        <f>Benefits_PO_RN!F14</f>
        <v>1910049.611650485</v>
      </c>
      <c r="I16" s="130">
        <f>Benefits_PO_RN!G14</f>
        <v>3361687.3165048547</v>
      </c>
      <c r="J16" s="133">
        <f>Benefits_PO_RN!H14</f>
        <v>4622320.060194178</v>
      </c>
    </row>
    <row r="17" spans="2:10" ht="15">
      <c r="B17" s="68"/>
      <c r="C17" s="304" t="s">
        <v>186</v>
      </c>
      <c r="D17" s="262"/>
      <c r="E17" s="130">
        <f>Cost_Benefits_RFQ_RN!C44</f>
        <v>0</v>
      </c>
      <c r="F17" s="130">
        <f>Cost_Benefits_RFQ_RN!D44</f>
        <v>2200</v>
      </c>
      <c r="G17" s="130">
        <f>Cost_Benefits_RFQ_RN!E44</f>
        <v>4840</v>
      </c>
      <c r="H17" s="130">
        <f>Cost_Benefits_RFQ_RN!F44</f>
        <v>10648</v>
      </c>
      <c r="I17" s="130">
        <f>Cost_Benefits_RFQ_RN!G44</f>
        <v>14641.000000000015</v>
      </c>
      <c r="J17" s="133">
        <f>Cost_Benefits_RFQ_RN!H44</f>
        <v>22547.14</v>
      </c>
    </row>
    <row r="18" spans="2:10" ht="15">
      <c r="B18" s="68"/>
      <c r="C18" s="305" t="s">
        <v>167</v>
      </c>
      <c r="D18" s="262"/>
      <c r="E18" s="62"/>
      <c r="F18" s="62"/>
      <c r="G18" s="62"/>
      <c r="H18" s="62"/>
      <c r="I18" s="62"/>
      <c r="J18" s="61"/>
    </row>
    <row r="19" spans="2:10" ht="15">
      <c r="B19" s="68"/>
      <c r="C19" s="304" t="s">
        <v>277</v>
      </c>
      <c r="D19" s="306"/>
      <c r="E19" s="130">
        <f>Benefits_PO_RN!C45+Cost_Benefits_RFQ_RN!C54</f>
        <v>0</v>
      </c>
      <c r="F19" s="130">
        <f>Benefits_PO_RN!D45+Cost_Benefits_RFQ_RN!D54</f>
        <v>69011.53846153845</v>
      </c>
      <c r="G19" s="130">
        <f>Benefits_PO_RN!E45+Cost_Benefits_RFQ_RN!E54</f>
        <v>136818.1952662722</v>
      </c>
      <c r="H19" s="130">
        <f>Benefits_PO_RN!F45+Cost_Benefits_RFQ_RN!F54</f>
        <v>319290.592284934</v>
      </c>
      <c r="I19" s="130">
        <f>Benefits_PO_RN!G45+Cost_Benefits_RFQ_RN!G54</f>
        <v>464075.0468295928</v>
      </c>
      <c r="J19" s="133">
        <f>Benefits_PO_RN!H45+Cost_Benefits_RFQ_RN!H54</f>
        <v>548838.9954412687</v>
      </c>
    </row>
    <row r="20" spans="2:10" ht="15">
      <c r="B20" s="68"/>
      <c r="C20" s="305" t="s">
        <v>168</v>
      </c>
      <c r="D20" s="262"/>
      <c r="E20" s="62"/>
      <c r="F20" s="62"/>
      <c r="G20" s="62"/>
      <c r="H20" s="62"/>
      <c r="I20" s="62"/>
      <c r="J20" s="61"/>
    </row>
    <row r="21" spans="2:10" ht="15">
      <c r="B21" s="68"/>
      <c r="C21" s="223" t="s">
        <v>293</v>
      </c>
      <c r="D21" s="222"/>
      <c r="E21" s="130">
        <f>Benefits_PO_RN!C35</f>
        <v>0</v>
      </c>
      <c r="F21" s="130">
        <f>Benefits_PO_RN!D35</f>
        <v>13551.008284871234</v>
      </c>
      <c r="G21" s="130">
        <f>Benefits_PO_RN!E35</f>
        <v>27205.59567670113</v>
      </c>
      <c r="H21" s="130">
        <f>Benefits_PO_RN!F35</f>
        <v>68815.43444957888</v>
      </c>
      <c r="I21" s="130">
        <f>Benefits_PO_RN!G35</f>
        <v>111450.3264635653</v>
      </c>
      <c r="J21" s="133">
        <f>Benefits_PO_RN!H35</f>
        <v>140481.99768728027</v>
      </c>
    </row>
    <row r="22" spans="2:10" ht="15">
      <c r="B22" s="68"/>
      <c r="C22" s="304" t="s">
        <v>261</v>
      </c>
      <c r="D22" s="306"/>
      <c r="E22" s="130">
        <f>Benefits_PO_RN!C27</f>
        <v>0</v>
      </c>
      <c r="F22" s="130">
        <f>Benefits_PO_RN!D27</f>
        <v>4327.397260273982</v>
      </c>
      <c r="G22" s="130">
        <f>Benefits_PO_RN!E27</f>
        <v>9347.178082191802</v>
      </c>
      <c r="H22" s="130">
        <f>Benefits_PO_RN!F27</f>
        <v>25237.380821917806</v>
      </c>
      <c r="I22" s="130">
        <f>Benefits_PO_RN!G27</f>
        <v>43610.19406027395</v>
      </c>
      <c r="J22" s="133">
        <f>Benefits_PO_RN!H27</f>
        <v>58873.76198136987</v>
      </c>
    </row>
    <row r="23" spans="2:10" ht="15.75">
      <c r="B23" s="68"/>
      <c r="C23" s="302" t="s">
        <v>207</v>
      </c>
      <c r="D23" s="307"/>
      <c r="E23" s="134">
        <f>E16+E17+E21+E19+E20+E22</f>
        <v>0</v>
      </c>
      <c r="F23" s="134">
        <f>F16+F17+F21+F19+F22</f>
        <v>404800.62361833453</v>
      </c>
      <c r="G23" s="134">
        <f>G16+G17+G21+G19+G22</f>
        <v>872774.4641707946</v>
      </c>
      <c r="H23" s="134">
        <f>H16+H17+H21+H19+H22</f>
        <v>2334041.0192069155</v>
      </c>
      <c r="I23" s="134">
        <f>I16+I17+I21+I19+I22</f>
        <v>3995463.883858287</v>
      </c>
      <c r="J23" s="135">
        <f>J16+J17+J21+J19+J22</f>
        <v>5393061.9553040955</v>
      </c>
    </row>
    <row r="24" spans="2:10" ht="15">
      <c r="B24" s="68"/>
      <c r="C24" s="23"/>
      <c r="D24" s="23"/>
      <c r="E24" s="23"/>
      <c r="F24" s="23"/>
      <c r="G24" s="23"/>
      <c r="H24" s="23"/>
      <c r="I24" s="23"/>
      <c r="J24" s="69"/>
    </row>
    <row r="25" spans="2:10" ht="15.75">
      <c r="B25" s="70" t="s">
        <v>56</v>
      </c>
      <c r="C25" s="23"/>
      <c r="D25" s="23"/>
      <c r="E25" s="23"/>
      <c r="F25" s="23"/>
      <c r="G25" s="23"/>
      <c r="H25" s="23"/>
      <c r="I25" s="23"/>
      <c r="J25" s="234"/>
    </row>
    <row r="26" spans="2:10" ht="16.5" thickBot="1">
      <c r="B26" s="68"/>
      <c r="C26" s="304"/>
      <c r="D26" s="306"/>
      <c r="E26" s="206">
        <v>2001</v>
      </c>
      <c r="F26" s="206">
        <v>2002</v>
      </c>
      <c r="G26" s="206">
        <v>2003</v>
      </c>
      <c r="H26" s="206">
        <v>2004</v>
      </c>
      <c r="I26" s="206">
        <v>2005</v>
      </c>
      <c r="J26" s="207">
        <v>2006</v>
      </c>
    </row>
    <row r="27" spans="2:10" ht="16.5" thickBot="1">
      <c r="B27" s="68"/>
      <c r="C27" s="302" t="s">
        <v>214</v>
      </c>
      <c r="D27" s="303"/>
      <c r="E27" s="136">
        <f aca="true" t="shared" si="1" ref="E27:J27">E23-E10</f>
        <v>-1521666.6666666667</v>
      </c>
      <c r="F27" s="137">
        <f t="shared" si="1"/>
        <v>13133.956951667904</v>
      </c>
      <c r="G27" s="137">
        <f t="shared" si="1"/>
        <v>514441.13083746127</v>
      </c>
      <c r="H27" s="137">
        <f t="shared" si="1"/>
        <v>1975707.6858735823</v>
      </c>
      <c r="I27" s="137">
        <f t="shared" si="1"/>
        <v>3653797.2171916203</v>
      </c>
      <c r="J27" s="138">
        <f t="shared" si="1"/>
        <v>5051395.288637429</v>
      </c>
    </row>
    <row r="28" spans="2:10" ht="15.75" thickBot="1">
      <c r="B28" s="71"/>
      <c r="C28" s="72"/>
      <c r="D28" s="72"/>
      <c r="E28" s="72"/>
      <c r="F28" s="72"/>
      <c r="G28" s="72"/>
      <c r="H28" s="72"/>
      <c r="I28" s="72"/>
      <c r="J28" s="73"/>
    </row>
    <row r="29" spans="2:10" ht="15">
      <c r="B29" s="23"/>
      <c r="C29" s="23"/>
      <c r="D29" s="23"/>
      <c r="E29" s="23"/>
      <c r="F29" s="23"/>
      <c r="G29" s="23"/>
      <c r="H29" s="23"/>
      <c r="I29" s="23"/>
      <c r="J29" s="23"/>
    </row>
    <row r="30" spans="2:10" ht="15.75" thickBot="1">
      <c r="B30" s="23"/>
      <c r="C30" s="23"/>
      <c r="D30" s="23"/>
      <c r="E30" s="23"/>
      <c r="F30" s="23"/>
      <c r="G30" s="23"/>
      <c r="H30" s="23"/>
      <c r="I30" s="23"/>
      <c r="J30" s="23"/>
    </row>
    <row r="31" spans="2:4" ht="15.75">
      <c r="B31" s="19" t="s">
        <v>29</v>
      </c>
      <c r="C31" s="157" t="s">
        <v>57</v>
      </c>
      <c r="D31" s="132">
        <f>NPV('Prelimany Data'!C12,E27:J27)</f>
        <v>4155053.981496961</v>
      </c>
    </row>
    <row r="32" spans="3:5" ht="15">
      <c r="C32" s="84" t="s">
        <v>209</v>
      </c>
      <c r="D32" s="160">
        <f>NPV('Prelimany Data'!C12,E10:J10)</f>
        <v>2377413.5516106733</v>
      </c>
      <c r="E32" s="19" t="s">
        <v>212</v>
      </c>
    </row>
    <row r="33" spans="3:5" ht="15">
      <c r="C33" s="84" t="s">
        <v>210</v>
      </c>
      <c r="D33" s="160">
        <f>NPV('Prelimany Data'!C12,E23:J23)</f>
        <v>6532467.533107634</v>
      </c>
      <c r="E33" s="19" t="s">
        <v>213</v>
      </c>
    </row>
    <row r="34" spans="3:4" ht="15">
      <c r="C34" s="158" t="s">
        <v>211</v>
      </c>
      <c r="D34" s="162">
        <f>D33/D32</f>
        <v>2.7477203234927106</v>
      </c>
    </row>
    <row r="35" spans="3:4" ht="15.75" thickBot="1">
      <c r="C35" s="74" t="s">
        <v>58</v>
      </c>
      <c r="D35" s="163">
        <f>IRR(E27:J27)</f>
        <v>0.6561086507990296</v>
      </c>
    </row>
  </sheetData>
  <mergeCells count="13">
    <mergeCell ref="C7:D7"/>
    <mergeCell ref="C8:D8"/>
    <mergeCell ref="C9:D9"/>
    <mergeCell ref="C10:D10"/>
    <mergeCell ref="C16:D16"/>
    <mergeCell ref="C18:D18"/>
    <mergeCell ref="C19:D19"/>
    <mergeCell ref="C26:D26"/>
    <mergeCell ref="C27:D27"/>
    <mergeCell ref="C17:D17"/>
    <mergeCell ref="C20:D20"/>
    <mergeCell ref="C22:D22"/>
    <mergeCell ref="C23:D23"/>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1:J292"/>
  <sheetViews>
    <sheetView showGridLines="0" workbookViewId="0" topLeftCell="A1">
      <selection activeCell="I288" sqref="I288"/>
    </sheetView>
  </sheetViews>
  <sheetFormatPr defaultColWidth="9.140625" defaultRowHeight="12.75"/>
  <cols>
    <col min="1" max="1" width="10.8515625" style="2" customWidth="1"/>
    <col min="2" max="3" width="9.140625" style="2" customWidth="1"/>
    <col min="4" max="4" width="20.7109375" style="2" customWidth="1"/>
    <col min="5" max="5" width="14.00390625" style="2" customWidth="1"/>
    <col min="6" max="6" width="22.421875" style="2" bestFit="1" customWidth="1"/>
    <col min="7" max="7" width="10.8515625" style="2" customWidth="1"/>
    <col min="8" max="8" width="18.8515625" style="2" bestFit="1" customWidth="1"/>
    <col min="9" max="16384" width="9.140625" style="2" customWidth="1"/>
  </cols>
  <sheetData>
    <row r="1" ht="15.75">
      <c r="B1" s="1" t="s">
        <v>222</v>
      </c>
    </row>
    <row r="3" ht="15.75">
      <c r="B3" s="1" t="s">
        <v>62</v>
      </c>
    </row>
    <row r="5" spans="4:8" ht="11.25">
      <c r="D5" s="3" t="s">
        <v>63</v>
      </c>
      <c r="E5" s="4"/>
      <c r="F5" s="3" t="s">
        <v>64</v>
      </c>
      <c r="H5" s="5"/>
    </row>
    <row r="6" spans="4:8" ht="11.25">
      <c r="D6" s="3"/>
      <c r="E6" s="4"/>
      <c r="F6" s="3"/>
      <c r="H6" s="5"/>
    </row>
    <row r="7" spans="4:8" ht="11.25">
      <c r="D7" s="3"/>
      <c r="E7" s="4"/>
      <c r="F7" s="3"/>
      <c r="H7" s="5"/>
    </row>
    <row r="8" spans="4:8" ht="11.25">
      <c r="D8" s="3"/>
      <c r="E8" s="4"/>
      <c r="H8" s="5"/>
    </row>
    <row r="9" spans="4:8" ht="11.25">
      <c r="D9" s="6" t="s">
        <v>65</v>
      </c>
      <c r="E9" s="4"/>
      <c r="H9" s="5"/>
    </row>
    <row r="10" spans="4:8" ht="11.25">
      <c r="D10" s="7" t="s">
        <v>66</v>
      </c>
      <c r="E10" s="4"/>
      <c r="H10" s="5"/>
    </row>
    <row r="11" spans="4:8" ht="11.25">
      <c r="D11" s="3"/>
      <c r="E11" s="4"/>
      <c r="H11" s="5"/>
    </row>
    <row r="12" spans="4:8" ht="11.25">
      <c r="D12" s="3"/>
      <c r="E12" s="4"/>
      <c r="H12" s="5"/>
    </row>
    <row r="13" spans="4:8" ht="11.25">
      <c r="D13" s="6" t="s">
        <v>67</v>
      </c>
      <c r="E13" s="4"/>
      <c r="H13" s="5"/>
    </row>
    <row r="14" spans="4:8" ht="11.25">
      <c r="D14" s="7" t="s">
        <v>68</v>
      </c>
      <c r="E14" s="4"/>
      <c r="H14" s="5"/>
    </row>
    <row r="15" spans="4:8" ht="11.25">
      <c r="D15" s="8"/>
      <c r="E15" s="4"/>
      <c r="F15" s="3"/>
      <c r="H15" s="5"/>
    </row>
    <row r="16" spans="4:8" ht="11.25">
      <c r="D16" s="8"/>
      <c r="E16" s="4"/>
      <c r="F16" s="3"/>
      <c r="H16" s="5"/>
    </row>
    <row r="17" spans="4:8" ht="11.25">
      <c r="D17" s="6" t="s">
        <v>69</v>
      </c>
      <c r="E17" s="4"/>
      <c r="F17" s="3"/>
      <c r="H17" s="5"/>
    </row>
    <row r="18" spans="4:8" ht="11.25">
      <c r="D18" s="7"/>
      <c r="E18" s="4"/>
      <c r="F18" s="3"/>
      <c r="H18" s="5"/>
    </row>
    <row r="19" spans="4:8" ht="11.25">
      <c r="D19" s="3" t="s">
        <v>70</v>
      </c>
      <c r="E19" s="4"/>
      <c r="F19" s="3"/>
      <c r="H19" s="5"/>
    </row>
    <row r="20" ht="11.25">
      <c r="D20" s="9"/>
    </row>
    <row r="21" spans="4:6" ht="11.25">
      <c r="D21" s="10" t="s">
        <v>71</v>
      </c>
      <c r="E21" s="5" t="s">
        <v>72</v>
      </c>
      <c r="F21" s="6" t="s">
        <v>73</v>
      </c>
    </row>
    <row r="22" spans="5:6" ht="11.25">
      <c r="E22" s="9" t="s">
        <v>74</v>
      </c>
      <c r="F22" s="7" t="s">
        <v>75</v>
      </c>
    </row>
    <row r="23" spans="5:6" ht="11.25">
      <c r="E23" s="10" t="s">
        <v>76</v>
      </c>
      <c r="F23" s="8"/>
    </row>
    <row r="24" spans="4:6" ht="11.25">
      <c r="D24" s="4"/>
      <c r="E24" s="4"/>
      <c r="F24" s="4"/>
    </row>
    <row r="25" spans="4:6" ht="11.25">
      <c r="D25" s="4"/>
      <c r="E25" s="4"/>
      <c r="F25" s="4"/>
    </row>
    <row r="26" spans="4:8" ht="11.25">
      <c r="D26" s="4"/>
      <c r="E26" s="4"/>
      <c r="F26" s="4" t="s">
        <v>77</v>
      </c>
      <c r="G26" s="2" t="s">
        <v>78</v>
      </c>
      <c r="H26" s="6" t="s">
        <v>79</v>
      </c>
    </row>
    <row r="27" spans="4:8" ht="11.25">
      <c r="D27" s="4"/>
      <c r="E27" s="4"/>
      <c r="F27" s="4" t="s">
        <v>80</v>
      </c>
      <c r="H27" s="7" t="s">
        <v>81</v>
      </c>
    </row>
    <row r="28" spans="4:5" ht="11.25">
      <c r="D28" s="4"/>
      <c r="E28" s="4"/>
    </row>
    <row r="29" spans="4:8" ht="11.25">
      <c r="D29" s="4"/>
      <c r="E29" s="4"/>
      <c r="F29" s="4"/>
      <c r="H29" s="11" t="s">
        <v>216</v>
      </c>
    </row>
    <row r="30" spans="4:6" ht="11.25">
      <c r="D30" s="4"/>
      <c r="E30" s="4"/>
      <c r="F30" s="4" t="s">
        <v>82</v>
      </c>
    </row>
    <row r="31" spans="4:6" ht="11.25">
      <c r="D31" s="4"/>
      <c r="E31" s="4"/>
      <c r="F31" s="4"/>
    </row>
    <row r="32" spans="4:9" ht="11.25">
      <c r="D32" s="4"/>
      <c r="E32" s="4"/>
      <c r="F32" s="6" t="s">
        <v>83</v>
      </c>
      <c r="G32" s="2" t="s">
        <v>84</v>
      </c>
      <c r="I32" s="2" t="s">
        <v>85</v>
      </c>
    </row>
    <row r="33" spans="4:6" ht="11.25">
      <c r="D33" s="4"/>
      <c r="E33" s="4"/>
      <c r="F33" s="12" t="s">
        <v>86</v>
      </c>
    </row>
    <row r="34" spans="4:6" ht="11.25">
      <c r="D34" s="4"/>
      <c r="E34" s="4"/>
      <c r="F34" s="7" t="s">
        <v>87</v>
      </c>
    </row>
    <row r="35" spans="4:6" ht="11.25">
      <c r="D35" s="4"/>
      <c r="E35" s="4"/>
      <c r="F35" s="4"/>
    </row>
    <row r="36" spans="4:6" ht="11.25">
      <c r="D36" s="4"/>
      <c r="E36" s="4"/>
      <c r="F36" s="4"/>
    </row>
    <row r="37" spans="4:6" ht="11.25">
      <c r="D37" s="4"/>
      <c r="E37" s="3" t="s">
        <v>72</v>
      </c>
      <c r="F37" s="4"/>
    </row>
    <row r="38" spans="4:6" ht="11.25">
      <c r="D38" s="6" t="s">
        <v>88</v>
      </c>
      <c r="E38" s="4"/>
      <c r="F38" s="6" t="s">
        <v>89</v>
      </c>
    </row>
    <row r="39" spans="4:6" ht="11.25">
      <c r="D39" s="7" t="s">
        <v>90</v>
      </c>
      <c r="E39" s="4"/>
      <c r="F39" s="7" t="s">
        <v>91</v>
      </c>
    </row>
    <row r="40" spans="4:6" ht="11.25">
      <c r="D40" s="4"/>
      <c r="E40" s="4" t="s">
        <v>92</v>
      </c>
      <c r="F40" s="4"/>
    </row>
    <row r="41" spans="4:6" ht="11.25">
      <c r="D41" s="4"/>
      <c r="E41" s="3" t="s">
        <v>93</v>
      </c>
      <c r="F41" s="4"/>
    </row>
    <row r="42" spans="4:6" ht="11.25">
      <c r="D42" s="4"/>
      <c r="E42" s="3"/>
      <c r="F42" s="4"/>
    </row>
    <row r="43" spans="4:6" ht="11.25">
      <c r="D43" s="4"/>
      <c r="E43" s="4"/>
      <c r="F43" s="4"/>
    </row>
    <row r="44" spans="4:6" ht="11.25">
      <c r="D44" s="6" t="s">
        <v>94</v>
      </c>
      <c r="E44" s="4"/>
      <c r="F44" s="4"/>
    </row>
    <row r="45" spans="4:6" ht="11.25">
      <c r="D45" s="12" t="s">
        <v>95</v>
      </c>
      <c r="E45" s="4"/>
      <c r="F45" s="4"/>
    </row>
    <row r="46" spans="4:6" ht="11.25">
      <c r="D46" s="7" t="s">
        <v>96</v>
      </c>
      <c r="E46" s="4"/>
      <c r="F46" s="4"/>
    </row>
    <row r="47" ht="11.25">
      <c r="D47" s="13"/>
    </row>
    <row r="48" ht="11.25">
      <c r="D48" s="13"/>
    </row>
    <row r="49" ht="11.25">
      <c r="D49" s="6" t="s">
        <v>97</v>
      </c>
    </row>
    <row r="50" ht="11.25">
      <c r="D50" s="12" t="s">
        <v>98</v>
      </c>
    </row>
    <row r="51" ht="11.25">
      <c r="D51" s="14"/>
    </row>
    <row r="52" ht="11.25">
      <c r="D52" s="13"/>
    </row>
    <row r="53" ht="11.25">
      <c r="D53" s="13"/>
    </row>
    <row r="54" ht="11.25">
      <c r="D54" s="13"/>
    </row>
    <row r="55" ht="11.25">
      <c r="D55" s="13"/>
    </row>
    <row r="56" spans="3:6" ht="11.25">
      <c r="C56" s="2" t="s">
        <v>219</v>
      </c>
      <c r="D56" s="13"/>
      <c r="E56" s="4"/>
      <c r="F56" s="8"/>
    </row>
    <row r="57" spans="4:7" ht="11.25">
      <c r="D57" s="13"/>
      <c r="F57" s="8"/>
      <c r="G57" s="8"/>
    </row>
    <row r="58" spans="3:7" ht="11.25">
      <c r="C58" s="3" t="s">
        <v>93</v>
      </c>
      <c r="D58" s="13"/>
      <c r="F58" s="8"/>
      <c r="G58" s="8"/>
    </row>
    <row r="59" spans="4:7" ht="11.25">
      <c r="D59" s="13"/>
      <c r="G59" s="8"/>
    </row>
    <row r="60" ht="11.25">
      <c r="D60" s="8"/>
    </row>
    <row r="61" ht="11.25">
      <c r="D61" s="9" t="s">
        <v>100</v>
      </c>
    </row>
    <row r="63" spans="4:6" ht="11.25">
      <c r="D63" s="11" t="s">
        <v>217</v>
      </c>
      <c r="F63" s="11" t="s">
        <v>218</v>
      </c>
    </row>
    <row r="64" ht="11.25">
      <c r="E64" s="4" t="s">
        <v>92</v>
      </c>
    </row>
    <row r="65" ht="11.25">
      <c r="E65" s="3" t="s">
        <v>93</v>
      </c>
    </row>
    <row r="66" ht="11.25">
      <c r="E66" s="3"/>
    </row>
    <row r="67" ht="11.25">
      <c r="E67" s="3"/>
    </row>
    <row r="69" ht="15.75">
      <c r="B69" s="1" t="s">
        <v>101</v>
      </c>
    </row>
    <row r="72" ht="15.75" hidden="1">
      <c r="E72" s="1" t="s">
        <v>102</v>
      </c>
    </row>
    <row r="73" ht="11.25" hidden="1"/>
    <row r="74" ht="11.25" hidden="1"/>
    <row r="75" ht="11.25" hidden="1"/>
    <row r="76" spans="4:6" ht="11.25" hidden="1">
      <c r="D76" s="11" t="s">
        <v>103</v>
      </c>
      <c r="E76" s="4"/>
      <c r="F76" s="4"/>
    </row>
    <row r="77" spans="4:6" ht="11.25" hidden="1">
      <c r="D77" s="4"/>
      <c r="E77" s="4"/>
      <c r="F77" s="4"/>
    </row>
    <row r="78" spans="4:6" ht="11.25" hidden="1">
      <c r="D78" s="4"/>
      <c r="E78" s="4"/>
      <c r="F78" s="4"/>
    </row>
    <row r="79" spans="4:8" ht="11.25" hidden="1">
      <c r="D79" s="4"/>
      <c r="E79" s="4"/>
      <c r="F79" s="11" t="s">
        <v>104</v>
      </c>
      <c r="H79" s="2" t="s">
        <v>105</v>
      </c>
    </row>
    <row r="80" spans="4:6" ht="11.25" hidden="1">
      <c r="D80" s="4"/>
      <c r="E80" s="4"/>
      <c r="F80" s="4"/>
    </row>
    <row r="81" spans="4:6" ht="11.25" hidden="1">
      <c r="D81" s="4"/>
      <c r="E81" s="4"/>
      <c r="F81" s="4"/>
    </row>
    <row r="82" spans="4:6" ht="11.25" hidden="1">
      <c r="D82" s="4"/>
      <c r="E82" s="4"/>
      <c r="F82" s="6" t="s">
        <v>106</v>
      </c>
    </row>
    <row r="83" spans="4:6" ht="11.25" hidden="1">
      <c r="D83" s="4"/>
      <c r="E83" s="4"/>
      <c r="F83" s="7" t="s">
        <v>90</v>
      </c>
    </row>
    <row r="84" spans="4:6" ht="11.25" hidden="1">
      <c r="D84" s="4"/>
      <c r="E84" s="4"/>
      <c r="F84" s="4"/>
    </row>
    <row r="85" spans="4:8" ht="11.25" hidden="1">
      <c r="D85" s="6" t="s">
        <v>107</v>
      </c>
      <c r="E85" s="4"/>
      <c r="F85" s="4"/>
      <c r="H85" s="2" t="s">
        <v>108</v>
      </c>
    </row>
    <row r="86" spans="4:6" ht="11.25" hidden="1">
      <c r="D86" s="7" t="s">
        <v>109</v>
      </c>
      <c r="E86" s="4"/>
      <c r="F86" s="4"/>
    </row>
    <row r="87" spans="4:6" ht="11.25" hidden="1">
      <c r="D87" s="4"/>
      <c r="E87" s="4"/>
      <c r="F87" s="4"/>
    </row>
    <row r="88" spans="4:6" ht="11.25" hidden="1">
      <c r="D88" s="4"/>
      <c r="E88" s="4"/>
      <c r="F88" s="4"/>
    </row>
    <row r="89" spans="4:8" ht="11.25" hidden="1">
      <c r="D89" s="15" t="s">
        <v>110</v>
      </c>
      <c r="H89" s="2" t="s">
        <v>111</v>
      </c>
    </row>
    <row r="90" ht="11.25" hidden="1">
      <c r="D90" s="14" t="s">
        <v>96</v>
      </c>
    </row>
    <row r="91" ht="11.25" hidden="1">
      <c r="D91" s="13"/>
    </row>
    <row r="92" ht="11.25" hidden="1">
      <c r="D92" s="13"/>
    </row>
    <row r="93" ht="11.25" hidden="1">
      <c r="D93" s="13"/>
    </row>
    <row r="94" ht="11.25" hidden="1">
      <c r="D94" s="13"/>
    </row>
    <row r="95" ht="11.25" hidden="1">
      <c r="D95" s="13"/>
    </row>
    <row r="96" ht="11.25" hidden="1">
      <c r="D96" s="13"/>
    </row>
    <row r="97" ht="11.25" hidden="1">
      <c r="D97" s="13"/>
    </row>
    <row r="98" ht="11.25" hidden="1">
      <c r="D98" s="2" t="s">
        <v>112</v>
      </c>
    </row>
    <row r="99" ht="11.25" hidden="1"/>
    <row r="100" spans="4:6" ht="12.75" hidden="1">
      <c r="D100" s="308" t="s">
        <v>113</v>
      </c>
      <c r="E100" s="309"/>
      <c r="F100" s="310"/>
    </row>
    <row r="101" spans="4:6" ht="11.25" hidden="1">
      <c r="D101" s="8"/>
      <c r="E101" s="8"/>
      <c r="F101" s="8"/>
    </row>
    <row r="102" spans="4:6" ht="11.25" hidden="1">
      <c r="D102" s="8"/>
      <c r="E102" s="8"/>
      <c r="F102" s="8"/>
    </row>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1" spans="4:6" ht="11.25">
      <c r="D141" s="6" t="s">
        <v>114</v>
      </c>
      <c r="E141" s="3" t="s">
        <v>115</v>
      </c>
      <c r="F141" s="6" t="s">
        <v>116</v>
      </c>
    </row>
    <row r="142" spans="4:6" ht="11.25">
      <c r="D142" s="7" t="s">
        <v>117</v>
      </c>
      <c r="E142" s="4" t="s">
        <v>105</v>
      </c>
      <c r="F142" s="7" t="s">
        <v>75</v>
      </c>
    </row>
    <row r="148" spans="7:8" ht="11.25">
      <c r="G148" s="2" t="s">
        <v>118</v>
      </c>
      <c r="H148" s="15" t="s">
        <v>119</v>
      </c>
    </row>
    <row r="149" ht="11.25">
      <c r="H149" s="16" t="s">
        <v>120</v>
      </c>
    </row>
    <row r="150" ht="11.25">
      <c r="H150" s="14" t="s">
        <v>121</v>
      </c>
    </row>
    <row r="153" ht="11.25">
      <c r="F153" s="2" t="s">
        <v>122</v>
      </c>
    </row>
    <row r="154" ht="11.25">
      <c r="I154" s="4" t="s">
        <v>99</v>
      </c>
    </row>
    <row r="155" ht="11.25">
      <c r="F155" s="6" t="s">
        <v>123</v>
      </c>
    </row>
    <row r="156" ht="11.25">
      <c r="F156" s="7" t="s">
        <v>124</v>
      </c>
    </row>
    <row r="157" ht="11.25"/>
    <row r="160" ht="11.25">
      <c r="H160" s="2" t="s">
        <v>125</v>
      </c>
    </row>
    <row r="163" spans="4:5" ht="11.25">
      <c r="D163" s="6" t="s">
        <v>126</v>
      </c>
      <c r="E163" s="3" t="s">
        <v>72</v>
      </c>
    </row>
    <row r="164" spans="4:5" ht="11.25">
      <c r="D164" s="7" t="s">
        <v>127</v>
      </c>
      <c r="E164" s="4" t="s">
        <v>92</v>
      </c>
    </row>
    <row r="165" ht="11.25">
      <c r="E165" s="3" t="s">
        <v>93</v>
      </c>
    </row>
    <row r="168" spans="2:9" ht="15.75">
      <c r="B168" s="17" t="s">
        <v>221</v>
      </c>
      <c r="C168" s="4"/>
      <c r="E168" s="4"/>
      <c r="F168" s="4"/>
      <c r="G168" s="4"/>
      <c r="H168" s="4"/>
      <c r="I168" s="4"/>
    </row>
    <row r="169" spans="3:9" ht="11.25">
      <c r="C169" s="4"/>
      <c r="E169" s="4"/>
      <c r="F169" s="4"/>
      <c r="G169" s="4"/>
      <c r="H169" s="4"/>
      <c r="I169" s="4"/>
    </row>
    <row r="170" spans="4:8" ht="11.25">
      <c r="D170" s="4"/>
      <c r="E170" s="4"/>
      <c r="F170" s="4"/>
      <c r="G170" s="4"/>
      <c r="H170" s="4"/>
    </row>
    <row r="171" spans="2:10" ht="11.25">
      <c r="B171" s="4"/>
      <c r="C171" s="4"/>
      <c r="D171" s="3" t="s">
        <v>91</v>
      </c>
      <c r="E171" s="4"/>
      <c r="F171" s="3" t="s">
        <v>128</v>
      </c>
      <c r="G171" s="4"/>
      <c r="H171" s="4"/>
      <c r="I171" s="4"/>
      <c r="J171" s="4"/>
    </row>
    <row r="172" spans="4:8" ht="11.25">
      <c r="D172" s="4"/>
      <c r="E172" s="4"/>
      <c r="F172" s="4"/>
      <c r="G172" s="4"/>
      <c r="H172" s="4"/>
    </row>
    <row r="173" spans="4:8" ht="11.25">
      <c r="D173" s="4"/>
      <c r="E173" s="4"/>
      <c r="F173" s="4"/>
      <c r="G173" s="4"/>
      <c r="H173" s="4"/>
    </row>
    <row r="174" spans="4:8" ht="11.25">
      <c r="D174" s="4"/>
      <c r="E174" s="4"/>
      <c r="F174" s="4"/>
      <c r="G174" s="4"/>
      <c r="H174" s="4"/>
    </row>
    <row r="175" spans="4:8" ht="11.25">
      <c r="D175" s="8"/>
      <c r="E175" s="3" t="s">
        <v>129</v>
      </c>
      <c r="F175" s="4"/>
      <c r="G175" s="4"/>
      <c r="H175" s="4"/>
    </row>
    <row r="176" spans="4:8" ht="11.25">
      <c r="D176" s="8"/>
      <c r="E176" s="4"/>
      <c r="F176" s="4"/>
      <c r="G176" s="4"/>
      <c r="H176" s="4"/>
    </row>
    <row r="177" spans="4:8" ht="11.25">
      <c r="D177" s="8"/>
      <c r="E177" s="4"/>
      <c r="F177" s="4"/>
      <c r="G177" s="4"/>
      <c r="H177" s="4"/>
    </row>
    <row r="178" spans="4:8" ht="11.25">
      <c r="D178" s="4"/>
      <c r="E178" s="4"/>
      <c r="F178" s="4"/>
      <c r="G178" s="4"/>
      <c r="H178" s="4"/>
    </row>
    <row r="179" spans="4:8" ht="11.25">
      <c r="D179" s="4"/>
      <c r="E179" s="4"/>
      <c r="F179" s="4"/>
      <c r="G179" s="4"/>
      <c r="H179" s="4"/>
    </row>
    <row r="180" spans="4:8" ht="11.25">
      <c r="D180" s="4"/>
      <c r="E180" s="4"/>
      <c r="F180" s="8"/>
      <c r="G180" s="4"/>
      <c r="H180" s="4"/>
    </row>
    <row r="181" spans="4:8" ht="11.25">
      <c r="D181" s="4"/>
      <c r="E181" s="4"/>
      <c r="F181" s="8"/>
      <c r="G181" s="4"/>
      <c r="H181" s="4"/>
    </row>
    <row r="182" spans="4:8" ht="11.25">
      <c r="D182" s="4"/>
      <c r="E182" s="4"/>
      <c r="F182" s="4"/>
      <c r="G182" s="4"/>
      <c r="H182" s="4"/>
    </row>
    <row r="183" spans="4:8" ht="11.25">
      <c r="D183" s="4"/>
      <c r="E183" s="4"/>
      <c r="F183" s="4"/>
      <c r="G183" s="4"/>
      <c r="H183" s="4"/>
    </row>
    <row r="184" spans="4:8" ht="11.25">
      <c r="D184" s="4"/>
      <c r="E184" s="4"/>
      <c r="F184" s="4"/>
      <c r="G184" s="4"/>
      <c r="H184" s="4"/>
    </row>
    <row r="185" spans="4:8" ht="11.25">
      <c r="D185" s="4"/>
      <c r="E185" s="3" t="s">
        <v>129</v>
      </c>
      <c r="F185" s="8"/>
      <c r="G185" s="4"/>
      <c r="H185" s="4"/>
    </row>
    <row r="186" spans="4:8" ht="11.25">
      <c r="D186" s="4"/>
      <c r="E186" s="4"/>
      <c r="F186" s="8"/>
      <c r="G186" s="4"/>
      <c r="H186" s="4"/>
    </row>
    <row r="187" spans="4:8" ht="11.25">
      <c r="D187" s="4"/>
      <c r="E187" s="4"/>
      <c r="F187" s="8"/>
      <c r="G187" s="4"/>
      <c r="H187" s="4"/>
    </row>
    <row r="188" spans="4:8" ht="11.25">
      <c r="D188" s="4"/>
      <c r="E188" s="4"/>
      <c r="F188" s="8"/>
      <c r="G188" s="4"/>
      <c r="H188" s="4"/>
    </row>
    <row r="189" spans="4:8" ht="11.25">
      <c r="D189" s="4"/>
      <c r="E189" s="4"/>
      <c r="F189" s="8"/>
      <c r="G189" s="4"/>
      <c r="H189" s="4"/>
    </row>
    <row r="190" spans="4:8" ht="11.25">
      <c r="D190" s="4"/>
      <c r="E190" s="4"/>
      <c r="F190" s="8"/>
      <c r="G190" s="4"/>
      <c r="H190" s="4"/>
    </row>
    <row r="191" spans="4:8" ht="11.25">
      <c r="D191" s="4"/>
      <c r="E191" s="3" t="s">
        <v>223</v>
      </c>
      <c r="F191" s="8"/>
      <c r="G191" s="4"/>
      <c r="H191" s="4"/>
    </row>
    <row r="192" spans="4:8" ht="11.25">
      <c r="D192" s="4"/>
      <c r="E192" s="4"/>
      <c r="F192" s="8"/>
      <c r="G192" s="4"/>
      <c r="H192" s="4"/>
    </row>
    <row r="193" spans="4:8" ht="11.25">
      <c r="D193" s="4"/>
      <c r="E193" s="4"/>
      <c r="F193" s="4"/>
      <c r="G193" s="4"/>
      <c r="H193" s="4"/>
    </row>
    <row r="194" spans="4:8" ht="11.25">
      <c r="D194" s="4"/>
      <c r="E194" s="4"/>
      <c r="F194" s="4"/>
      <c r="G194" s="4"/>
      <c r="H194" s="4"/>
    </row>
    <row r="195" spans="4:8" ht="11.25">
      <c r="D195" s="8"/>
      <c r="E195" s="4"/>
      <c r="F195" s="4"/>
      <c r="G195" s="4"/>
      <c r="H195" s="4"/>
    </row>
    <row r="196" spans="4:8" ht="11.25">
      <c r="D196" s="8"/>
      <c r="E196" s="3" t="s">
        <v>220</v>
      </c>
      <c r="F196" s="4"/>
      <c r="G196" s="4"/>
      <c r="H196" s="4"/>
    </row>
    <row r="197" spans="4:8" ht="11.25">
      <c r="D197" s="8"/>
      <c r="E197" s="4"/>
      <c r="F197" s="4"/>
      <c r="G197" s="4"/>
      <c r="H197" s="4"/>
    </row>
    <row r="198" spans="4:8" ht="11.25">
      <c r="D198" s="4"/>
      <c r="E198" s="4"/>
      <c r="F198" s="4"/>
      <c r="G198" s="4"/>
      <c r="H198" s="4"/>
    </row>
    <row r="199" spans="4:8" ht="11.25">
      <c r="D199" s="4"/>
      <c r="E199" s="4"/>
      <c r="F199" s="4"/>
      <c r="G199" s="4"/>
      <c r="H199" s="4"/>
    </row>
    <row r="200" spans="3:9" ht="11.25">
      <c r="C200" s="4"/>
      <c r="E200" s="4"/>
      <c r="F200" s="4"/>
      <c r="G200" s="4"/>
      <c r="H200" s="4"/>
      <c r="I200" s="4"/>
    </row>
    <row r="201" spans="3:9" ht="11.25">
      <c r="C201" s="4"/>
      <c r="E201" s="4"/>
      <c r="F201" s="4"/>
      <c r="G201" s="4"/>
      <c r="H201" s="4"/>
      <c r="I201" s="4"/>
    </row>
    <row r="202" spans="3:9" ht="11.25">
      <c r="C202" s="4"/>
      <c r="E202" s="4"/>
      <c r="F202" s="4"/>
      <c r="G202" s="4"/>
      <c r="H202" s="4"/>
      <c r="I202" s="4"/>
    </row>
    <row r="203" spans="3:9" ht="11.25">
      <c r="C203" s="4"/>
      <c r="E203" s="4"/>
      <c r="F203" s="4"/>
      <c r="G203" s="4"/>
      <c r="H203" s="4"/>
      <c r="I203" s="4"/>
    </row>
    <row r="204" spans="3:9" ht="11.25">
      <c r="C204" s="4"/>
      <c r="E204" s="4"/>
      <c r="F204" s="4"/>
      <c r="G204" s="4"/>
      <c r="H204" s="4"/>
      <c r="I204" s="4"/>
    </row>
    <row r="205" spans="2:9" ht="15.75">
      <c r="B205" s="17" t="s">
        <v>224</v>
      </c>
      <c r="C205" s="4"/>
      <c r="E205" s="4"/>
      <c r="F205" s="4"/>
      <c r="G205" s="4"/>
      <c r="H205" s="4"/>
      <c r="I205" s="4"/>
    </row>
    <row r="206" spans="3:9" ht="11.25">
      <c r="C206" s="4"/>
      <c r="E206" s="4"/>
      <c r="F206" s="4"/>
      <c r="G206" s="4"/>
      <c r="H206" s="4"/>
      <c r="I206" s="4"/>
    </row>
    <row r="207" spans="4:8" ht="11.25">
      <c r="D207" s="4"/>
      <c r="E207" s="4"/>
      <c r="F207" s="4"/>
      <c r="G207" s="4"/>
      <c r="H207" s="4"/>
    </row>
    <row r="208" spans="4:8" ht="11.25">
      <c r="D208" s="4"/>
      <c r="E208" s="4"/>
      <c r="F208" s="4"/>
      <c r="G208" s="4"/>
      <c r="H208" s="4"/>
    </row>
    <row r="209" spans="3:8" ht="11.25">
      <c r="C209" s="4"/>
      <c r="D209" s="3" t="s">
        <v>91</v>
      </c>
      <c r="E209" s="4"/>
      <c r="F209" s="3" t="s">
        <v>128</v>
      </c>
      <c r="G209" s="4"/>
      <c r="H209" s="4"/>
    </row>
    <row r="210" spans="4:8" ht="11.25">
      <c r="D210" s="4"/>
      <c r="E210" s="4"/>
      <c r="F210" s="4"/>
      <c r="G210" s="4"/>
      <c r="H210" s="4"/>
    </row>
    <row r="211" spans="4:8" ht="11.25">
      <c r="D211" s="4"/>
      <c r="E211" s="4"/>
      <c r="F211" s="4"/>
      <c r="G211" s="4"/>
      <c r="H211" s="4"/>
    </row>
    <row r="212" spans="4:8" ht="11.25">
      <c r="D212" s="4"/>
      <c r="E212" s="4"/>
      <c r="F212" s="4"/>
      <c r="G212" s="4"/>
      <c r="H212" s="4"/>
    </row>
    <row r="213" spans="4:8" ht="11.25">
      <c r="D213" s="8"/>
      <c r="E213" s="3" t="s">
        <v>225</v>
      </c>
      <c r="F213" s="4"/>
      <c r="G213" s="4"/>
      <c r="H213" s="4"/>
    </row>
    <row r="214" spans="4:8" ht="11.25">
      <c r="D214" s="8"/>
      <c r="E214" s="4"/>
      <c r="F214" s="4"/>
      <c r="G214" s="4"/>
      <c r="H214" s="4"/>
    </row>
    <row r="215" spans="4:8" ht="11.25">
      <c r="D215" s="8"/>
      <c r="E215" s="4"/>
      <c r="F215" s="4"/>
      <c r="G215" s="4"/>
      <c r="H215" s="4"/>
    </row>
    <row r="216" spans="4:8" ht="11.25">
      <c r="D216" s="4"/>
      <c r="E216" s="4"/>
      <c r="F216" s="4"/>
      <c r="G216" s="4"/>
      <c r="H216" s="4"/>
    </row>
    <row r="217" spans="4:8" ht="11.25">
      <c r="D217" s="4"/>
      <c r="E217" s="4"/>
      <c r="F217" s="4"/>
      <c r="G217" s="4"/>
      <c r="H217" s="4"/>
    </row>
    <row r="218" spans="4:8" ht="11.25">
      <c r="D218" s="4"/>
      <c r="E218" s="4"/>
      <c r="G218" s="4"/>
      <c r="H218" s="4"/>
    </row>
    <row r="219" spans="4:8" ht="11.25">
      <c r="D219" s="4"/>
      <c r="E219" s="8"/>
      <c r="G219" s="4"/>
      <c r="H219" s="4"/>
    </row>
    <row r="220" spans="4:8" ht="11.25">
      <c r="D220" s="4"/>
      <c r="E220" s="8"/>
      <c r="F220" s="4"/>
      <c r="G220" s="4"/>
      <c r="H220" s="4"/>
    </row>
    <row r="221" spans="4:8" ht="11.25">
      <c r="D221" s="4"/>
      <c r="E221" s="4"/>
      <c r="F221" s="4"/>
      <c r="G221" s="4"/>
      <c r="H221" s="4"/>
    </row>
    <row r="222" spans="4:8" ht="11.25">
      <c r="D222" s="4"/>
      <c r="E222" s="4"/>
      <c r="F222" s="4"/>
      <c r="G222" s="4"/>
      <c r="H222" s="4"/>
    </row>
    <row r="223" spans="4:8" ht="11.25">
      <c r="D223" s="4"/>
      <c r="E223" s="4"/>
      <c r="F223" s="8"/>
      <c r="G223" s="4"/>
      <c r="H223" s="4"/>
    </row>
    <row r="224" spans="4:8" ht="11.25">
      <c r="D224" s="4"/>
      <c r="E224" s="4"/>
      <c r="F224" s="8"/>
      <c r="G224" s="4"/>
      <c r="H224" s="4"/>
    </row>
    <row r="225" spans="4:8" ht="11.25">
      <c r="D225" s="4"/>
      <c r="E225" s="4"/>
      <c r="F225" s="8"/>
      <c r="G225" s="4"/>
      <c r="H225" s="4"/>
    </row>
    <row r="226" spans="4:8" ht="11.25">
      <c r="D226" s="4"/>
      <c r="E226" s="3" t="s">
        <v>225</v>
      </c>
      <c r="F226" s="4"/>
      <c r="G226" s="4"/>
      <c r="H226" s="4"/>
    </row>
    <row r="227" spans="4:8" ht="11.25">
      <c r="D227" s="4"/>
      <c r="E227" s="4"/>
      <c r="F227" s="4"/>
      <c r="G227" s="4"/>
      <c r="H227" s="4"/>
    </row>
    <row r="228" spans="4:8" ht="11.25">
      <c r="D228" s="8"/>
      <c r="E228" s="4"/>
      <c r="F228" s="4"/>
      <c r="G228" s="4"/>
      <c r="H228" s="4"/>
    </row>
    <row r="232" spans="2:9" ht="15.75">
      <c r="B232" s="17" t="s">
        <v>262</v>
      </c>
      <c r="C232" s="4"/>
      <c r="E232" s="4"/>
      <c r="F232" s="4"/>
      <c r="G232" s="4"/>
      <c r="H232" s="4"/>
      <c r="I232" s="4"/>
    </row>
    <row r="233" spans="3:9" ht="11.25">
      <c r="C233" s="4"/>
      <c r="E233" s="4"/>
      <c r="F233" s="4"/>
      <c r="G233" s="4"/>
      <c r="H233" s="4"/>
      <c r="I233" s="4"/>
    </row>
    <row r="234" spans="4:8" ht="11.25">
      <c r="D234" s="4"/>
      <c r="E234" s="4"/>
      <c r="F234" s="4"/>
      <c r="G234" s="4"/>
      <c r="H234" s="4"/>
    </row>
    <row r="235" spans="2:10" ht="11.25">
      <c r="B235" s="3" t="s">
        <v>91</v>
      </c>
      <c r="C235" s="4"/>
      <c r="D235" s="3" t="s">
        <v>263</v>
      </c>
      <c r="E235" s="4"/>
      <c r="F235" s="3" t="s">
        <v>264</v>
      </c>
      <c r="G235" s="4"/>
      <c r="H235" s="4"/>
      <c r="I235" s="4"/>
      <c r="J235" s="4"/>
    </row>
    <row r="236" spans="4:8" ht="11.25">
      <c r="D236" s="4"/>
      <c r="E236" s="4"/>
      <c r="F236" s="4"/>
      <c r="G236" s="4"/>
      <c r="H236" s="4"/>
    </row>
    <row r="237" spans="4:8" ht="11.25">
      <c r="D237" s="4"/>
      <c r="E237" s="4"/>
      <c r="F237" s="4"/>
      <c r="G237" s="4"/>
      <c r="H237" s="4"/>
    </row>
    <row r="238" spans="4:8" ht="11.25">
      <c r="D238" s="4"/>
      <c r="E238" s="4"/>
      <c r="F238" s="4"/>
      <c r="G238" s="4"/>
      <c r="H238" s="4"/>
    </row>
    <row r="239" spans="4:8" ht="11.25">
      <c r="D239" s="8"/>
      <c r="E239" s="3" t="s">
        <v>265</v>
      </c>
      <c r="F239" s="4"/>
      <c r="G239" s="4"/>
      <c r="H239" s="4"/>
    </row>
    <row r="240" spans="4:8" ht="11.25">
      <c r="D240" s="8"/>
      <c r="E240" s="4"/>
      <c r="F240" s="4"/>
      <c r="G240" s="4"/>
      <c r="H240" s="4"/>
    </row>
    <row r="241" spans="4:8" ht="11.25">
      <c r="D241" s="8"/>
      <c r="E241" s="4"/>
      <c r="F241" s="4"/>
      <c r="G241" s="4"/>
      <c r="H241" s="4"/>
    </row>
    <row r="242" spans="4:8" ht="11.25">
      <c r="D242" s="4"/>
      <c r="E242" s="4"/>
      <c r="F242" s="4"/>
      <c r="G242" s="4"/>
      <c r="H242" s="4"/>
    </row>
    <row r="243" spans="4:8" ht="11.25">
      <c r="D243" s="4"/>
      <c r="E243" s="4"/>
      <c r="F243" s="4"/>
      <c r="G243" s="4"/>
      <c r="H243" s="4"/>
    </row>
    <row r="244" spans="4:8" ht="11.25">
      <c r="D244" s="4"/>
      <c r="E244" s="4"/>
      <c r="F244" s="8"/>
      <c r="G244" s="4"/>
      <c r="H244" s="4"/>
    </row>
    <row r="245" spans="4:8" ht="11.25">
      <c r="D245" s="4"/>
      <c r="E245" s="4"/>
      <c r="F245" s="8"/>
      <c r="G245" s="4"/>
      <c r="H245" s="4"/>
    </row>
    <row r="246" spans="4:8" ht="11.25">
      <c r="D246" s="4"/>
      <c r="E246" s="4"/>
      <c r="F246" s="4"/>
      <c r="G246" s="4"/>
      <c r="H246" s="4"/>
    </row>
    <row r="247" spans="4:8" ht="11.25">
      <c r="D247" s="4"/>
      <c r="E247" s="4"/>
      <c r="F247" s="4"/>
      <c r="G247" s="4"/>
      <c r="H247" s="4"/>
    </row>
    <row r="248" spans="4:8" ht="11.25">
      <c r="D248" s="4"/>
      <c r="E248" s="4"/>
      <c r="F248" s="4"/>
      <c r="G248" s="4"/>
      <c r="H248" s="4"/>
    </row>
    <row r="249" spans="4:8" ht="11.25">
      <c r="D249" s="4"/>
      <c r="E249" s="3"/>
      <c r="F249" s="8"/>
      <c r="G249" s="4"/>
      <c r="H249" s="4"/>
    </row>
    <row r="250" spans="4:8" ht="11.25">
      <c r="D250" s="4"/>
      <c r="E250" s="4"/>
      <c r="F250" s="8"/>
      <c r="G250" s="4"/>
      <c r="H250" s="4"/>
    </row>
    <row r="251" spans="4:8" ht="11.25">
      <c r="D251" s="4"/>
      <c r="E251" s="4"/>
      <c r="F251" s="8"/>
      <c r="G251" s="4"/>
      <c r="H251" s="4"/>
    </row>
    <row r="252" spans="4:8" ht="11.25">
      <c r="D252" s="4"/>
      <c r="E252" s="4"/>
      <c r="F252" s="8"/>
      <c r="G252" s="4"/>
      <c r="H252" s="4"/>
    </row>
    <row r="253" spans="4:8" ht="11.25">
      <c r="D253" s="4"/>
      <c r="E253" s="4"/>
      <c r="F253" s="8"/>
      <c r="G253" s="4"/>
      <c r="H253" s="4"/>
    </row>
    <row r="254" spans="4:8" ht="11.25">
      <c r="D254" s="4"/>
      <c r="E254" s="4"/>
      <c r="F254" s="8"/>
      <c r="G254" s="4"/>
      <c r="H254" s="4"/>
    </row>
    <row r="255" spans="4:8" ht="11.25">
      <c r="D255" s="4"/>
      <c r="E255" s="3" t="s">
        <v>269</v>
      </c>
      <c r="F255" s="8"/>
      <c r="G255" s="4"/>
      <c r="H255" s="4"/>
    </row>
    <row r="256" spans="4:8" ht="11.25">
      <c r="D256" s="4"/>
      <c r="E256" s="4"/>
      <c r="F256" s="8"/>
      <c r="G256" s="4"/>
      <c r="H256" s="4"/>
    </row>
    <row r="257" spans="4:8" ht="11.25">
      <c r="D257" s="4"/>
      <c r="E257" s="4"/>
      <c r="F257" s="4"/>
      <c r="G257" s="4"/>
      <c r="H257" s="4"/>
    </row>
    <row r="258" spans="4:8" ht="11.25">
      <c r="D258" s="4"/>
      <c r="E258" s="4"/>
      <c r="F258" s="4"/>
      <c r="G258" s="4"/>
      <c r="H258" s="4"/>
    </row>
    <row r="259" spans="4:8" ht="11.25">
      <c r="D259" s="8"/>
      <c r="E259" s="4"/>
      <c r="F259" s="4"/>
      <c r="G259" s="4"/>
      <c r="H259" s="4"/>
    </row>
    <row r="260" spans="4:8" ht="11.25">
      <c r="D260" s="8"/>
      <c r="E260" s="3" t="s">
        <v>266</v>
      </c>
      <c r="F260" s="4"/>
      <c r="G260" s="4"/>
      <c r="H260" s="4"/>
    </row>
    <row r="261" spans="4:8" ht="11.25">
      <c r="D261" s="8"/>
      <c r="E261" s="4"/>
      <c r="F261" s="4"/>
      <c r="G261" s="4"/>
      <c r="H261" s="4"/>
    </row>
    <row r="262" spans="4:8" ht="11.25">
      <c r="D262" s="4"/>
      <c r="E262" s="4"/>
      <c r="F262" s="4"/>
      <c r="G262" s="4"/>
      <c r="H262" s="4"/>
    </row>
    <row r="263" spans="4:8" ht="11.25">
      <c r="D263" s="4"/>
      <c r="E263" s="4"/>
      <c r="F263" s="4"/>
      <c r="G263" s="4"/>
      <c r="H263" s="4"/>
    </row>
    <row r="264" spans="3:9" ht="11.25">
      <c r="C264" s="4"/>
      <c r="D264" s="3" t="s">
        <v>266</v>
      </c>
      <c r="E264" s="4"/>
      <c r="F264" s="4"/>
      <c r="G264" s="4"/>
      <c r="H264" s="4"/>
      <c r="I264" s="4"/>
    </row>
    <row r="265" spans="3:9" ht="11.25">
      <c r="C265" s="4"/>
      <c r="E265" s="4"/>
      <c r="F265" s="4"/>
      <c r="G265" s="4"/>
      <c r="H265" s="4"/>
      <c r="I265" s="4"/>
    </row>
    <row r="266" spans="3:9" ht="11.25">
      <c r="C266" s="4"/>
      <c r="E266" s="4"/>
      <c r="F266" s="4"/>
      <c r="G266" s="4"/>
      <c r="H266" s="4"/>
      <c r="I266" s="4"/>
    </row>
    <row r="267" spans="3:9" ht="11.25">
      <c r="C267" s="4"/>
      <c r="E267" s="4"/>
      <c r="F267" s="4"/>
      <c r="G267" s="4"/>
      <c r="H267" s="4"/>
      <c r="I267" s="4"/>
    </row>
    <row r="268" spans="3:9" ht="11.25">
      <c r="C268" s="4"/>
      <c r="E268" s="4"/>
      <c r="F268" s="4"/>
      <c r="G268" s="4"/>
      <c r="H268" s="4"/>
      <c r="I268" s="4"/>
    </row>
    <row r="269" spans="2:9" ht="15.75">
      <c r="B269" s="17" t="s">
        <v>267</v>
      </c>
      <c r="C269" s="4"/>
      <c r="E269" s="4"/>
      <c r="F269" s="4"/>
      <c r="G269" s="4"/>
      <c r="H269" s="4"/>
      <c r="I269" s="4"/>
    </row>
    <row r="270" spans="3:9" ht="11.25">
      <c r="C270" s="4"/>
      <c r="E270" s="4"/>
      <c r="F270" s="4"/>
      <c r="G270" s="4"/>
      <c r="H270" s="4"/>
      <c r="I270" s="4"/>
    </row>
    <row r="271" spans="4:8" ht="11.25">
      <c r="D271" s="4"/>
      <c r="E271" s="4"/>
      <c r="F271" s="4"/>
      <c r="G271" s="4"/>
      <c r="H271" s="4"/>
    </row>
    <row r="272" spans="4:8" ht="11.25">
      <c r="D272" s="4"/>
      <c r="E272" s="4"/>
      <c r="F272" s="4"/>
      <c r="G272" s="4"/>
      <c r="H272" s="4"/>
    </row>
    <row r="273" spans="3:8" ht="11.25">
      <c r="C273" s="4"/>
      <c r="D273" s="3" t="s">
        <v>91</v>
      </c>
      <c r="E273" s="4"/>
      <c r="F273" s="3" t="s">
        <v>128</v>
      </c>
      <c r="G273" s="4"/>
      <c r="H273" s="4"/>
    </row>
    <row r="274" spans="4:8" ht="11.25">
      <c r="D274" s="4"/>
      <c r="E274" s="4"/>
      <c r="F274" s="4"/>
      <c r="G274" s="4"/>
      <c r="H274" s="4"/>
    </row>
    <row r="275" spans="4:8" ht="11.25">
      <c r="D275" s="4"/>
      <c r="E275" s="4"/>
      <c r="F275" s="4"/>
      <c r="G275" s="4"/>
      <c r="H275" s="4"/>
    </row>
    <row r="276" spans="4:8" ht="11.25">
      <c r="D276" s="4"/>
      <c r="E276" s="4"/>
      <c r="F276" s="4"/>
      <c r="G276" s="4"/>
      <c r="H276" s="4"/>
    </row>
    <row r="277" spans="4:8" ht="11.25">
      <c r="D277" s="8"/>
      <c r="E277" s="3" t="s">
        <v>268</v>
      </c>
      <c r="F277" s="4"/>
      <c r="G277" s="4"/>
      <c r="H277" s="4"/>
    </row>
    <row r="278" spans="4:8" ht="11.25">
      <c r="D278" s="8"/>
      <c r="E278" s="4"/>
      <c r="F278" s="4"/>
      <c r="G278" s="4"/>
      <c r="H278" s="4"/>
    </row>
    <row r="279" spans="4:8" ht="11.25">
      <c r="D279" s="8"/>
      <c r="E279" s="4"/>
      <c r="F279" s="4"/>
      <c r="G279" s="4"/>
      <c r="H279" s="4"/>
    </row>
    <row r="280" spans="4:8" ht="11.25">
      <c r="D280" s="4"/>
      <c r="E280" s="4"/>
      <c r="F280" s="4"/>
      <c r="G280" s="4"/>
      <c r="H280" s="4"/>
    </row>
    <row r="281" spans="4:8" ht="11.25">
      <c r="D281" s="4"/>
      <c r="E281" s="4"/>
      <c r="F281" s="4"/>
      <c r="G281" s="4"/>
      <c r="H281" s="4"/>
    </row>
    <row r="282" spans="4:8" ht="11.25">
      <c r="D282" s="4"/>
      <c r="E282" s="4"/>
      <c r="G282" s="4"/>
      <c r="H282" s="4"/>
    </row>
    <row r="283" spans="4:8" ht="11.25">
      <c r="D283" s="4"/>
      <c r="E283" s="8"/>
      <c r="G283" s="4"/>
      <c r="H283" s="4"/>
    </row>
    <row r="284" spans="4:8" ht="11.25">
      <c r="D284" s="4"/>
      <c r="E284" s="8"/>
      <c r="F284" s="4"/>
      <c r="G284" s="4"/>
      <c r="H284" s="4"/>
    </row>
    <row r="285" spans="4:8" ht="11.25">
      <c r="D285" s="4"/>
      <c r="E285" s="4"/>
      <c r="F285" s="4"/>
      <c r="G285" s="4"/>
      <c r="H285" s="4"/>
    </row>
    <row r="286" spans="4:8" ht="11.25">
      <c r="D286" s="4"/>
      <c r="E286" s="4"/>
      <c r="F286" s="4"/>
      <c r="G286" s="4"/>
      <c r="H286" s="4"/>
    </row>
    <row r="287" spans="4:8" ht="11.25">
      <c r="D287" s="4"/>
      <c r="E287" s="4"/>
      <c r="F287" s="8"/>
      <c r="G287" s="4"/>
      <c r="H287" s="4"/>
    </row>
    <row r="288" spans="4:8" ht="11.25">
      <c r="D288" s="4"/>
      <c r="E288" s="4"/>
      <c r="F288" s="8"/>
      <c r="G288" s="4"/>
      <c r="H288" s="4"/>
    </row>
    <row r="289" spans="4:8" ht="11.25">
      <c r="D289" s="4"/>
      <c r="E289" s="3" t="s">
        <v>269</v>
      </c>
      <c r="F289" s="8"/>
      <c r="G289" s="4"/>
      <c r="H289" s="4"/>
    </row>
    <row r="290" spans="4:8" ht="11.25">
      <c r="D290" s="4"/>
      <c r="E290" s="3"/>
      <c r="F290" s="4"/>
      <c r="G290" s="4"/>
      <c r="H290" s="4"/>
    </row>
    <row r="291" spans="4:8" ht="11.25">
      <c r="D291" s="4"/>
      <c r="E291" s="4"/>
      <c r="F291" s="4"/>
      <c r="G291" s="4"/>
      <c r="H291" s="4"/>
    </row>
    <row r="292" spans="4:8" ht="11.25">
      <c r="D292" s="8"/>
      <c r="E292" s="4"/>
      <c r="F292" s="4"/>
      <c r="G292" s="4"/>
      <c r="H292" s="4"/>
    </row>
  </sheetData>
  <mergeCells count="1">
    <mergeCell ref="D100:F10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Prof. Hau Lee</Manager>
  <Company>Stanford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RosettaNet Cluster 3 ROI Model</dc:title>
  <dc:subject/>
  <dc:creator>Paresh Rajwat</dc:creator>
  <cp:keywords/>
  <dc:description/>
  <cp:lastModifiedBy>Administrator</cp:lastModifiedBy>
  <dcterms:created xsi:type="dcterms:W3CDTF">2002-06-20T20:27:25Z</dcterms:created>
  <dcterms:modified xsi:type="dcterms:W3CDTF">2002-09-23T20:21:59Z</dcterms:modified>
  <cp:category/>
  <cp:version/>
  <cp:contentType/>
  <cp:contentStatus/>
</cp:coreProperties>
</file>